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47118565Y\Desktop\"/>
    </mc:Choice>
  </mc:AlternateContent>
  <bookViews>
    <workbookView xWindow="0" yWindow="0" windowWidth="19200" windowHeight="11490"/>
  </bookViews>
  <sheets>
    <sheet name="T-P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5" i="2" l="1"/>
  <c r="F284" i="2"/>
  <c r="F278" i="2"/>
  <c r="F277" i="2"/>
  <c r="F276" i="2"/>
  <c r="F275" i="2"/>
  <c r="F274" i="2"/>
  <c r="F273" i="2"/>
  <c r="F266" i="2"/>
  <c r="F265" i="2"/>
  <c r="F264" i="2"/>
  <c r="F257" i="2"/>
  <c r="F256" i="2"/>
  <c r="F255" i="2"/>
  <c r="F254" i="2"/>
  <c r="F253" i="2"/>
  <c r="F247" i="2"/>
  <c r="F246" i="2"/>
  <c r="F245" i="2"/>
  <c r="F244" i="2"/>
  <c r="F243" i="2"/>
  <c r="F242" i="2"/>
  <c r="F234" i="2"/>
  <c r="F233" i="2"/>
  <c r="F232" i="2"/>
  <c r="F231" i="2"/>
  <c r="F230" i="2"/>
  <c r="F229" i="2"/>
  <c r="F222" i="2"/>
  <c r="F221" i="2"/>
  <c r="F220" i="2"/>
  <c r="F219" i="2"/>
  <c r="F218" i="2"/>
  <c r="F217" i="2"/>
  <c r="F210" i="2"/>
  <c r="F209" i="2"/>
  <c r="F208" i="2"/>
  <c r="F207" i="2"/>
  <c r="F200" i="2"/>
  <c r="F192" i="2"/>
  <c r="F191" i="2"/>
  <c r="F190" i="2"/>
  <c r="F183" i="2"/>
  <c r="F182" i="2"/>
  <c r="F181" i="2"/>
  <c r="F180" i="2"/>
  <c r="F179" i="2"/>
  <c r="F178" i="2"/>
  <c r="F177" i="2"/>
  <c r="F176" i="2"/>
  <c r="F169" i="2"/>
  <c r="F168" i="2"/>
  <c r="F167" i="2"/>
  <c r="F159" i="2"/>
  <c r="F152" i="2"/>
  <c r="F151" i="2"/>
  <c r="F144" i="2"/>
  <c r="F143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13" i="2"/>
  <c r="F112" i="2"/>
  <c r="F111" i="2"/>
  <c r="F110" i="2"/>
  <c r="F109" i="2"/>
  <c r="F101" i="2"/>
  <c r="F100" i="2"/>
  <c r="F99" i="2"/>
  <c r="F98" i="2"/>
  <c r="F90" i="2"/>
  <c r="F89" i="2"/>
  <c r="F88" i="2"/>
  <c r="F87" i="2"/>
  <c r="F86" i="2"/>
  <c r="F85" i="2"/>
  <c r="F84" i="2"/>
  <c r="F83" i="2"/>
  <c r="F82" i="2"/>
  <c r="F81" i="2"/>
  <c r="F73" i="2"/>
  <c r="F72" i="2"/>
  <c r="F71" i="2"/>
  <c r="F70" i="2"/>
  <c r="F69" i="2"/>
  <c r="F68" i="2"/>
  <c r="F67" i="2"/>
  <c r="F66" i="2"/>
  <c r="F58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2" i="2"/>
  <c r="F31" i="2"/>
  <c r="F30" i="2"/>
  <c r="F29" i="2"/>
  <c r="F28" i="2"/>
  <c r="F27" i="2"/>
  <c r="F26" i="2"/>
  <c r="F25" i="2"/>
  <c r="F24" i="2"/>
  <c r="F23" i="2"/>
  <c r="F22" i="2"/>
  <c r="H26" i="2" l="1"/>
  <c r="H28" i="2"/>
  <c r="H43" i="2"/>
  <c r="H44" i="2"/>
  <c r="H46" i="2"/>
  <c r="H70" i="2"/>
  <c r="H81" i="2"/>
  <c r="H83" i="2"/>
  <c r="H109" i="2"/>
  <c r="H111" i="2"/>
  <c r="H127" i="2"/>
  <c r="H169" i="2"/>
  <c r="H182" i="2"/>
  <c r="H200" i="2"/>
  <c r="H220" i="2"/>
  <c r="H253" i="2"/>
  <c r="H265" i="2"/>
  <c r="H285" i="2"/>
  <c r="H284" i="2"/>
  <c r="H278" i="2"/>
  <c r="H277" i="2"/>
  <c r="H276" i="2"/>
  <c r="H275" i="2"/>
  <c r="H274" i="2"/>
  <c r="H273" i="2"/>
  <c r="H266" i="2"/>
  <c r="H264" i="2"/>
  <c r="H257" i="2"/>
  <c r="H256" i="2"/>
  <c r="H255" i="2"/>
  <c r="H254" i="2"/>
  <c r="H247" i="2"/>
  <c r="H246" i="2"/>
  <c r="H245" i="2"/>
  <c r="H244" i="2"/>
  <c r="H243" i="2"/>
  <c r="H242" i="2"/>
  <c r="H234" i="2"/>
  <c r="H233" i="2"/>
  <c r="H232" i="2"/>
  <c r="H231" i="2"/>
  <c r="H230" i="2"/>
  <c r="H229" i="2"/>
  <c r="H222" i="2"/>
  <c r="H221" i="2"/>
  <c r="H219" i="2"/>
  <c r="H218" i="2"/>
  <c r="H217" i="2"/>
  <c r="H210" i="2"/>
  <c r="H209" i="2"/>
  <c r="H208" i="2"/>
  <c r="H207" i="2"/>
  <c r="H192" i="2"/>
  <c r="H191" i="2"/>
  <c r="H190" i="2"/>
  <c r="H183" i="2"/>
  <c r="H181" i="2"/>
  <c r="H180" i="2"/>
  <c r="H179" i="2"/>
  <c r="H178" i="2"/>
  <c r="H177" i="2"/>
  <c r="H176" i="2"/>
  <c r="H168" i="2"/>
  <c r="H167" i="2"/>
  <c r="H159" i="2"/>
  <c r="H160" i="2" s="1"/>
  <c r="H152" i="2"/>
  <c r="H151" i="2"/>
  <c r="H144" i="2"/>
  <c r="H143" i="2"/>
  <c r="H135" i="2"/>
  <c r="H134" i="2"/>
  <c r="H133" i="2"/>
  <c r="H132" i="2"/>
  <c r="H131" i="2"/>
  <c r="H130" i="2"/>
  <c r="H129" i="2"/>
  <c r="H128" i="2"/>
  <c r="H126" i="2"/>
  <c r="H125" i="2"/>
  <c r="H124" i="2"/>
  <c r="H123" i="2"/>
  <c r="H122" i="2"/>
  <c r="H121" i="2"/>
  <c r="H113" i="2"/>
  <c r="H112" i="2"/>
  <c r="H110" i="2"/>
  <c r="H101" i="2"/>
  <c r="H100" i="2"/>
  <c r="H99" i="2"/>
  <c r="H98" i="2"/>
  <c r="H90" i="2"/>
  <c r="H89" i="2"/>
  <c r="H88" i="2"/>
  <c r="H87" i="2"/>
  <c r="H86" i="2"/>
  <c r="H85" i="2"/>
  <c r="H84" i="2"/>
  <c r="H82" i="2"/>
  <c r="H73" i="2"/>
  <c r="H72" i="2"/>
  <c r="H71" i="2"/>
  <c r="H69" i="2"/>
  <c r="H68" i="2"/>
  <c r="H67" i="2"/>
  <c r="H66" i="2"/>
  <c r="H58" i="2"/>
  <c r="H59" i="2" s="1"/>
  <c r="H51" i="2"/>
  <c r="H50" i="2"/>
  <c r="H49" i="2"/>
  <c r="H48" i="2"/>
  <c r="H47" i="2"/>
  <c r="H45" i="2"/>
  <c r="H42" i="2"/>
  <c r="H41" i="2"/>
  <c r="H40" i="2"/>
  <c r="H39" i="2"/>
  <c r="H32" i="2"/>
  <c r="H31" i="2"/>
  <c r="H30" i="2"/>
  <c r="H29" i="2"/>
  <c r="H27" i="2"/>
  <c r="H25" i="2"/>
  <c r="H24" i="2"/>
  <c r="H23" i="2"/>
  <c r="H22" i="2"/>
  <c r="H15" i="2"/>
  <c r="H14" i="2"/>
  <c r="H13" i="2"/>
  <c r="H286" i="2" l="1"/>
  <c r="H74" i="2"/>
  <c r="H52" i="2"/>
  <c r="H153" i="2"/>
</calcChain>
</file>

<file path=xl/sharedStrings.xml><?xml version="1.0" encoding="utf-8"?>
<sst xmlns="http://schemas.openxmlformats.org/spreadsheetml/2006/main" count="779" uniqueCount="277">
  <si>
    <t xml:space="preserve">REFORMA VHIR </t>
  </si>
  <si>
    <t>Preu</t>
  </si>
  <si>
    <t>Amidament</t>
  </si>
  <si>
    <t>Import</t>
  </si>
  <si>
    <t>Obra</t>
  </si>
  <si>
    <t>01</t>
  </si>
  <si>
    <t>Pressupost2519_40_VHIR REFORMA</t>
  </si>
  <si>
    <t>INSTAL·LACIÓ</t>
  </si>
  <si>
    <t>00</t>
  </si>
  <si>
    <t>NOTES GENERALS</t>
  </si>
  <si>
    <t>'01.00</t>
  </si>
  <si>
    <t>EEARN0000</t>
  </si>
  <si>
    <t>u</t>
  </si>
  <si>
    <t>El preu de totes les partides inclou tots els mitjans, mà d'obra, maquinària, material, ajudes i altres elements necessaris per deixar la unitat correctament acabada amb el vist i plau de la DF.
La justificació de preus i quadre de preus descompostos només tenen valor justificatiu dels preus unitaris adoptats en el projecte i com a orientació per al contractista per estudiar la seva oferta. Els elements de cada descompost són els mínims a col·locar. El preu de contracte de cada partida inclou tot el necessari per a la seva execució completa i correctament segons memòria, plànols i documentació de projecte i sempre amb el vistiplau de la DF.
Els preus contradictoris que sigui necessari obtenir els establirà la DF a partir dels preus unitaris del pressupost de licitació o si cal a partir dels preus del banc BEDEC de l'ITEC en curs. Sobre aquest caldrà aplicar igualment el factor corrector resultat del coeficient de l'adjudicació.
En particular el preu contempla i inclou:
- El cost de les despeses indirectes corresponents.
- Tot el necessari per dur a terme l'obra seguint les fases necessàries.
- El manteniment, modificació, desviació i / o reposició d'aquells elements dels edificis, urbanitzacions i altres elements existents adjacents afectats per les obres i en particular dels drenatges efectuats amb tubs i graves, les impermeabilitzacions efectuades amb emulsió bituminosa, capa drenant làmina de drenatge nodular de polietilè d'alta densitat i capa filtrant amb geotèxtil.
- L'ús de maquinària especial, grues i elevadors específics en alguns treballs.
- La realització de totes les mostres prèvies de cada unitat d'obra que la DF consideri necessàries per poder validar els diferents sistemes constructius.
- El segellat i formació de calaixos ignífugs on calgui amb els productes correctes per garantir la resistència al foc necessària segons normativa vigent ja sigui mitjançant revestiments, collarins o comportes.
- El pintat intumescent i / o revestiment necessari de cada element (acer, ceràmica, fusta i altres) per complir amb la resistència al foc prescrita en projecte.
- La restitució de tots aquells elements existents afectats per l'obra entre altres paviments, arbres, xarxes d'instal·lacions, mobiliari, senyalètica i jardins.
- La modificació de l'obra existent, acceptada mitjançant l'Acta de replanteig d'aquesta fase, per permetre l'execució de totes les partides entre d'altres de la xarxa de sanejament, de la coberta i execució de passos a través de l'estructura.
- L'execució provisional i / o definitiva de totes les modificacions del solar, terreny, obra o entorn siguin necessàries per dur a terme l'obra, amb o sense aportació de terres, graves o altres materials, així com la instal·lació dels mitjans necessaris. Entre altres formació, manteniment i retirada de camins, rampes, plataformes de treball, tancats, apuntalaments i gunitats del terreny.
- Els mitjans i mesures necessaris per a executar tots els treballs pròxims a la pantalla de pilots, soterranis d'edificis, galeries subterrànies i altres elements pre-existents.
- L'execució de la corresponent baixa i altres elements necessaris per als treballs de geotèrmia així com la posterior gestió dels residus generats.
- Les neteges parcials de cada ram i la neteja final de l'obra per deixar-la en condicions d'utilització per a la següent fase o pels usuaris finals.
- Els ajuts corresponents a realitzar tots els rams (també els d'instal·lacions) incloent la formació de forats, passos o regates sobre qualsevol element (estructura, formigó, acer, ceràmica, fusta i altres) de qualsevol geometria i amb qualsevol sistema. En particular aquelles consistents en tots els treballs necessaris per a la col·locació de la xarxa de terres en les fases que sigui necessari.
- En totes les maquinàries i elements de les diferents instal·lacions inclou les estructures, ancoratges, silentblocs i altres elements necessari per deixar les unitats correctament col·locades.
- El segellat extra necessari per garantir l'estanquitat d'aquells recintes que ho requereixin.
- Lliurar els planos''as-built '' complets que actualitzin qualsevol variació en els plànols i memòria de projecte, en paper i en suport informàtic.
- El control de qualitat, fins a un 1,5%.
- El lliurament de les corresponents actes favorables de posada en servei per part de les entitats d'inspecció i control de totes les instal·lacions que requereixin legalització.
- La col·locació de les malles, bandes, planxes d'acer i elements de senyalització necessaris requerits per a cada instal·lació soterrada.
- Les malles tipus mallatex, bandes murfor, ancoratges i altres elements per a la correcta execució de l'obra i revestiments.
- Els elements separadors necessaris, formació de juntes i altres elements per a complir amb els requerim</t>
  </si>
  <si>
    <t>EEARN0001</t>
  </si>
  <si>
    <t>El preu de totes les partides inclou tots els mitjans, mà d'obra, maquinària, material, ajudes i altres elements necessaris per la retirada de les instal·lacions existents i que substituim el vist i plau de la DF.
En particular el preu contempla i inclou:
- El cost de les despeses indirectes corresponents.
- Tot el necessari per dur a terme l'obra seguint les fases necessàries.
- El manteniment, modificació, desviació i / o reposició d'aquells elements dels edificis.
- L'ús de maquinària especial, grues i elevadors específics en alguns treballs.
- La realització de totes les mostres prèvies de cada unitat d'obra que la DF consideri necessàries per poder validar els diferents sistemes constructius.
- El segellat i formació de calaixos ignífugs on calgui amb els productes correctes per garantir la resistència al foc necessària segons normativa vigent ja sigui mitjançant revestiments, collarins o comportes.
- El pintat intumescent i / o revestiment necessari de cada element (acer, ceràmica, fusta i altres) per complir amb la resistència al foc prescrita en projecte.
- La restitució de tots aquells elements existents afectats per l'obra entre altres paviments, arbres, xarxes d'instal·lacions, mobiliari, senyalètica i jardins.
- Els mitjans i mesures necessaris per a executar tots els treballs.
- L'execució de la corresponent baixa i altres elements necessaris per als treballs de geotèrmia així com la posterior gestió dels residus generats.
- Les neteges parcials de cada ram i la neteja final de l'obra per deixar-la en condicions d'utilització per a la següent fase o pels usuaris finals.
- Els ajuts corresponents a realitzar tots els rams (també els d'instal·lacions) incloent la formació de forats, passos o regates sobre qualsevol element (estructura, formigó, acer, ceràmica, fusta i altres) de qualsevol geometria i amb qualsevol sistema. En particular aquelles consistents en tots els treballs necessaris per a la col·locació de la xarxa de terres en les fases que sigui necessari.
- El segellat extra necessari per garantir l'estanquitat d'aquells recintes que ho requereixin.
- Lliurar els planos''as-built '' complets que actualitzin qualsevol variació en els plànols i memòria de projecte, en paper i en suport informàtic.
- El control de qualitat, fins a un 1,5%.
- El lliurament de les corresponents actes favorables de posada en servei per part de les entitats d'inspecció i control de totes les instal·lacions que requereixin legalització.
- La col·locació de les malles, bandes, planxes d'acer i elements de senyalització necessaris requerits per a cada instal·lació soterrada.
- Les malles tipus mallatex, bandes murfor, ancoratges i altres elements per a la correcta execució de l'obra i revestiments.
- Els elements separadors necessaris, formació de juntes i altres elements per a complir amb els requerim</t>
  </si>
  <si>
    <t>TOTAL</t>
  </si>
  <si>
    <t>SALA CONFERENCIES</t>
  </si>
  <si>
    <t>Apartat</t>
  </si>
  <si>
    <t>02</t>
  </si>
  <si>
    <t>INSTAL·LACIÓ DE CONDICIONAMENT DE L'AIRE</t>
  </si>
  <si>
    <t>Apartat (1)</t>
  </si>
  <si>
    <t>04</t>
  </si>
  <si>
    <t>Distribució d'aire ventilació</t>
  </si>
  <si>
    <t>'01.01.02.04</t>
  </si>
  <si>
    <t>EE51IS50</t>
  </si>
  <si>
    <t>m2</t>
  </si>
  <si>
    <t>Subministrament i instal·lació de conducte rectangular de llana de vidre marca 'Isover' model 'climaver NETO' ref 'ref. 20300 ' o equivalent de gruix 25 mm, resistència tèrmica &gt;= 0,78125 m2.K/W, amb recobriment exterior de alumini i malla de reforç i recobriment interior de teixit de vidre negre, segons UNE-EN 13162, amb materials auxiliars, totalment muntat i connectat.</t>
  </si>
  <si>
    <t>EEK77KK1</t>
  </si>
  <si>
    <t>Reixeta de retorn de quadrícula, d'alumini lacat blanc, de 600x600 mm, d'aletes separades 16/12.5 mm, de secció recta i fixada al bastiment</t>
  </si>
  <si>
    <t>EEK3D4R5</t>
  </si>
  <si>
    <t>Sum. i col. de difusor lineal amb aletes deflectores sectoritzades sèrie LSD-AR + PLSD-R AA 4x558 construït en
alumini i acabat ral 9010. Amb plenum de connexió circular lateral, regulador de cabal al coll i elements necessaris per a muntatge PLSD-R. marca MADEL per a un cabal de 250 m3/h i una pressió sonora de &lt;35 dBA</t>
  </si>
  <si>
    <t>EE44CB43HI8A</t>
  </si>
  <si>
    <t>m</t>
  </si>
  <si>
    <t>Tub flexible amb conducte circular d'alumini+espiral d'acer+polièster, de 254 mm de diàmetre de 45 micra de gruix ref. 13754 de la serie Conductes flexibles d'ISOVER , col·locat</t>
  </si>
  <si>
    <t>EE44CC43HI8B</t>
  </si>
  <si>
    <t>Tub flexible amb conducte circular d'alumini+espiral d'acer+polièster, de 305 mm de diàmetre de 45 micra de gruix ref. 13755 de la serie Conductes flexibles d'ISOVER , col·locat</t>
  </si>
  <si>
    <t>KEKQKE3D</t>
  </si>
  <si>
    <t>Comporta de regulació de cabal per a conductes rectangulars, bastiment d'alumini i lamel·les d'alumini de perfil aerodinàmic, accionament amb molla per limitar el cabal, de 200 mm de llargària, 200 mm d'alçària i 120 mm de fondària, fixada mecànicament</t>
  </si>
  <si>
    <t>EEKQLARB</t>
  </si>
  <si>
    <t>Comporta de regulació de cabal per a conductes rectangulars, bastiment d'alumini i lamel·les d'alumini de perfil aerodinàmic, accionament amb actuador elèctric de senyal de 0-10 V alimentat a 24 V i un parell motor de 5 Nm, de 200 mm de llargària, 200 mm d'alçària i 120 mm de fondària, fixada mecànicament. Model SVA-R200x200, inclou el servomotor Siemens GDB181E/3</t>
  </si>
  <si>
    <t>EEV4CATR</t>
  </si>
  <si>
    <t xml:space="preserve">Instal·lació elèctrica de comporta de regulació i termostat </t>
  </si>
  <si>
    <t>EEKQLAV3</t>
  </si>
  <si>
    <t xml:space="preserve">Subministre i col·locació de termòstat per controlar la comporta de regulació d'aire amb senyal de 0-10 V alimentat a 24 V Siemens model GDB181E/3. Inclou tots els accessoris per a laseva instal·lació i funcionament com també la seva programació i la font d'alimentació 220 V-24 V per al correcte funcionament, instalada en una caixa al costat de la comporta de regulació. Marca: Siemens;  Model: RDG400 </t>
  </si>
  <si>
    <t>EEV4CV57</t>
  </si>
  <si>
    <t>EEV4C4YU</t>
  </si>
  <si>
    <t>03</t>
  </si>
  <si>
    <t>INSTAL·LACIÓ ELÈCTRICA</t>
  </si>
  <si>
    <t>'01.01.03</t>
  </si>
  <si>
    <t>EG2DF6D2</t>
  </si>
  <si>
    <t xml:space="preserve">Safata metàl·lica reixa d'acer galvanitzat en calent, d'alçària 50 mm i amplària 100 mm, col·locada suspesa de paraments horitzontals amb elements de suport amb separador. </t>
  </si>
  <si>
    <t>EG380702</t>
  </si>
  <si>
    <t>Conductor de coure nu, unipolar de secció 1x16 mm2, muntat superficialment</t>
  </si>
  <si>
    <t>EH61RC79</t>
  </si>
  <si>
    <t>Llum d'emergència amb làmpada led, amb una vida útil de 100000 h, no permanent i no estanca amb grau de protecció IP4X, aïllament classe II, amb un flux aproximat de 170 a 200 lúmens, 1 h d'autonomia, de forma rectangular amb difusor i cos de policarbonat, preu alt, col·locat superficial</t>
  </si>
  <si>
    <t>EG312326</t>
  </si>
  <si>
    <t>Cable amb conductor de coure de 0,6/1 kV de tensió assignada, amb designació RZ1-K (AS), tripolar, de secció 3 x 1,5 mm2, amb coberta del cable de poliolefines amb baixa emissió fums, col·locat en canal o safata</t>
  </si>
  <si>
    <t>EG2A7S38</t>
  </si>
  <si>
    <t>Canal aïllant de PVC, amb 1 tapa per a mecanisme universal, de 70x 100 mm, amb 2 compartiments com a màxim, de color alumini, amb adaptador universal per tapa de 80 mm, densitat de llocs de treball baixa, (1 lloc de treball cada 3 m) , considerant 6 mecanismes per cada lloc de treball, muntada sobre paraments</t>
  </si>
  <si>
    <t>1G6TPTG7</t>
  </si>
  <si>
    <t>Punt de treball muntat en canal PVC color alumini superficial de paret formada per: 2 preses de corrent (2P+T) de 10/16 A i tapa color blanc, 2 preses de corrent (2P+T) de 10/16 A amb tapa vermella, 4 preses de veu i dades RJ45 doble categoria 6 F/UTP, muntada superficialment</t>
  </si>
  <si>
    <t>EG6281A1</t>
  </si>
  <si>
    <t>Interruptor, de tipus modular de 2 mòduls estrets, unipolar (1P), 16 AX/250 V, amb tecla, preu econòmic, muntat sobre bastidor o caixa</t>
  </si>
  <si>
    <t>EG63B152</t>
  </si>
  <si>
    <t>Presa de corrent bipolar amb presa de terra lateral, (2P+T), 16 A 250 V, amb tapa, preu mitjà, muntada superficialment</t>
  </si>
  <si>
    <t>EP731171</t>
  </si>
  <si>
    <t>Presa de senyal de veu i dades, de tipus universal, amb connector RJ45 simple, categoria 5e U/UTP, amb connexió per desplaçament de l'aïllament, amb tapa, preu econòmic, encastada</t>
  </si>
  <si>
    <t>EG312336</t>
  </si>
  <si>
    <t>Cable amb conductor de coure de 0,6/1 kV de tensió assignada, amb designació RZ1-K (AS), tripolar, de secció 3 x 2,5 mm2, amb coberta del cable de poliolefines amb baixa emissió fums, col·locat en canal o safata</t>
  </si>
  <si>
    <t>EH61RVY6</t>
  </si>
  <si>
    <t>Llum d'emergència amb làmpada led, amb una vida útil de 100000 h, no permanent i estanca amb grau de protecció IP64, aïllament classe II, amb un flux aproximat de 170 a 200 lúmens, 1 h d'autonomia, de forma rectangular amb difusor i cos de policarbonat, preu alt, col·locat superficial</t>
  </si>
  <si>
    <t>EH22JE61</t>
  </si>
  <si>
    <t>Llumenera decorativa modular d'alumini, de 60x60 cm, de 44 W de potència de la llumenera, 3200 lm de flux lluminós, protecció IP20, no regulable, encastada</t>
  </si>
  <si>
    <t>EG22H715</t>
  </si>
  <si>
    <t>Tub flexible corrugat de plàstic sense halògens, de 20 mm de diàmetre nominal, aïllant i no propagador de la flama, de baixa emissió de fums i sense emissió de gasos tòxics ni corrosius, resistència a l'impacte de 2 J, resistència a compressió de 320 N i una rigidesa dielèctrica de 2000 V, muntat sobre sostremort</t>
  </si>
  <si>
    <t>OFICINA</t>
  </si>
  <si>
    <t>ENDERROCS I DESMUNTATGES</t>
  </si>
  <si>
    <t>'01.02.01</t>
  </si>
  <si>
    <t>121EARP1</t>
  </si>
  <si>
    <t xml:space="preserve">Conjunt d'actuacions de retirada del conjunt d'instal·lacions de climatització consistents en:
- instal·lació de climatització i ventilació: 2 fan-coils, conductes, elements de difussió, canonades i elements hidràulics
- instal·lacions elèctriques de potència des de quadre fins a consums finals de climatització
- instal·lacions de control i regulació, consistents en termostats i elements actius,  recuperació equips electronics de control.
- instal·lacions de recollida de condensats.
Inclou la retirada i conservació d'aquells elements a mantenir que indiqui la Direcció d'Obra. Queden inclosses totes les tasques de retirada, triatge en obra, transport intern, acopi, transport i deposició a gestor autoritzat, pagament de taxes i presentació de certificats finals. </t>
  </si>
  <si>
    <t>Equips</t>
  </si>
  <si>
    <t>'01.02.02.02</t>
  </si>
  <si>
    <t>EED57147</t>
  </si>
  <si>
    <t>Bomba de calor per a equips de cabal variable de refrigerant, amb ventilador axial, per a sistemes de 2 tubs, amb 18 a 23 kW de potència tèrmica aproximada tant en fred com en calor, de 5 a 7 kW de potència elèctrica total absorbida, amb alimentació elèctrica de 400 V, amb funcionament del compressor DC Inverter, i fluid frigorífic R410 A, amb desguassos, antivibradors i accessoris de càrrega de gas necessaris per a un correcte funcionament i instal·lació, col·locada. Marca: Mitsubishi; model: PUHY-P200YNW-A</t>
  </si>
  <si>
    <t>EEDDMIB1</t>
  </si>
  <si>
    <t>Unitat interior de sostre de tipus cassette amb ventilador centrífug per a sistemes de cabal variable de refrigerant, amb 4 vies de sortida d'aire, de 2 kW de potència tèrmica aproximada tant en fred com en calor, de 30 W de potència elèctrica total absorbida, amb alimentació monofàsica de 230 V, per a instal·lacions amb fluid frigoríficR410 A, amb funcionament DC Inverter, col·locada. Marca: Mitsubishi, model: PLFY-P15VFM-E1</t>
  </si>
  <si>
    <t>EEDDMI41</t>
  </si>
  <si>
    <t>Unitat interior de sostre de tipus cassette amb ventilador centrífug per a sistemes de cabal variable de refrigerant, amb 4 vies de sortida d'aire, de 4,5 a 5 kW de potència tèrmica aproximada tant en fred com en calor, de 130 W de potència elèctrica total absorbida, amb alimentació monofàsica de 230 V, per a instal·lacions amb fluid frigoríficR410 A, col·locada. Marca: Mitsubishi, model: PLFY-P40VFM-E1</t>
  </si>
  <si>
    <t>EED9MI31</t>
  </si>
  <si>
    <t>Instal·lació firgorífica per a bombes de calor en instal·lacions de cabal variable de refrigerant de 2 tubs, de 13 sortides, per a fluid frigorífic R410a, amb separador de fases gas-líquid d'alta eficàcia i bescanviador de subrefredament, de 200 W de potència elèctrica total absorbida, amb alimentació monofàsica de 230 V, inclosos desguassos, accessoris i suports, col·locat, Instal·lació feta amb canonada de coure frigorífic, soldadura forta, derivadors i qualsevol altre equip o consimuble que sigui necessaria per al perfecte funcionament del sistema, incou el gas necessari per les distancoes de canonada. Inclou cablejata de comunicacions entre unitats exteriors  i interiors bus de 2x 1,5 mm2 entubat</t>
  </si>
  <si>
    <t>EED9MI32</t>
  </si>
  <si>
    <t>Control centralitzat per a instal·lació firgorífica per a bombes de calor en instal·lacions de cabal variable de refrigerant de 2 tubs, per a fluid frigorífic R410a, Inclosos accessoris i suports, col·locat, i qualsevol altre equip o consimuble que sigui necessaria per al perfecte funcionament del sistema, Marc Mitsubishi; model: AT-50B, inclou el  PAC-SC51KUA-J</t>
  </si>
  <si>
    <t>EEMH2HF4</t>
  </si>
  <si>
    <t>Unitat de ventilació amb recuperador estàtic, cabal nominal de 1200 m3/h, estructura de tub d'acer galvanitzat i envoltant de panell sandvitx de 25 mm de gruix d'acer galvanitzat amb aïllament, configuració en horitzontal, secció d'impulsió formada per 1 ventilador centrífug amb transmisió i filtres plans d'eficàcies F6 i F7, secció de retorn formada per 1 ventilador centrífug amb transmisió i filtre pla d'eficàcia F6, col·locada Marca: Sodeca; model: REB120  amb motors EC i bypas per freecooling.</t>
  </si>
  <si>
    <t>EEKQLAJ1</t>
  </si>
  <si>
    <t xml:space="preserve">Subministre i col·locació de sistema per controlar l'equip de recuperació i els ventiladors,amb control del ventialdor, i sondes de control de humitat i de CO. instalat i funcionant, complet de tots els accesoris, cablejat i feines  necessaries pel seu funcionament. Marca: SODECA;  Model: SI-VOC+ Humedad </t>
  </si>
  <si>
    <t>1Y03E4R7</t>
  </si>
  <si>
    <t>pa</t>
  </si>
  <si>
    <t xml:space="preserve">Partida alçada a justificar per a la confecció de bancada metál·lica construida amb perfils d'acer laminat tipus IPE/HEB instal·lada sobre murs de carrega o pilars nans ubicats al damunt d'elements estructurals de l'edifici. Inclou aprofitar nans actuals i afegir els necesaris per l'adequat repartiment dels pesos. </t>
  </si>
  <si>
    <t>'01.02.02.04</t>
  </si>
  <si>
    <t>EE52Q24A</t>
  </si>
  <si>
    <t>Formació de conducte rectangular de planxa d'acer galvanitzat, de gruix 1 mm, amb unió marc cargolat i clips, muntat adossat amb suports</t>
  </si>
  <si>
    <t>EE44B6S3</t>
  </si>
  <si>
    <t>Tub flexible amb conducte circular d'alumini+espiral d'acer+polièster i feltre de llana de vidre, de 160 mm de diàmetre sense gruixos definits, col·locat</t>
  </si>
  <si>
    <t>EEKCSKP1</t>
  </si>
  <si>
    <t>(CR-1) Sum. i col. de comporta circular de cabal constant amb sistema autorregulable per facilitar l'equilibrat d'instal·lacions de ventilació i climatització seriï SKP dim.100-30. Construïdes en plàstic i juntes de connexió de goma. Amb elements necessaris per a muntatge.
Marca MADEL. Model SKP-100-30</t>
  </si>
  <si>
    <t>EEKCSKP4</t>
  </si>
  <si>
    <t>(CR-2)   Sum. i col. de comporta circular de cabal constant amb sistema autorregulable per facilitar l'equilibrat d'instal·lacions de ventilació i climatització serie SKP dim.160.210. Construïdes en plàstic i juntes de connexió de goma. Amb elements necessaris per a muntatge.
Marca MADEL. model SKP-160-210</t>
  </si>
  <si>
    <t>EE44B2S3</t>
  </si>
  <si>
    <t>Tub flexible amb conducte circular d'alumini+espiral d'acer+polièster i feltre de llana mineral de vidre, de 102 mm de diàmetre sense gruixos definits, col·locat</t>
  </si>
  <si>
    <t>EEKCMCU8</t>
  </si>
  <si>
    <t>Sum. i col. de Reixeta lineal d'aletes paral·leles fixes inclinació a concretar per la direcció d'obra  a la cota major sèrie LMT+*SP+CM (S) AA dim. 600x125, construïda en alumini i acabat anoditzat AA amb regulador de cabal d'aletes oposades, construït en acer electro-*zincado lacado negre SP, fixació amb clips (S) i marc de muntatge CM inclou plènum PMISS-L de connexió lateral
Marca MADEL.</t>
  </si>
  <si>
    <t>EEKCMCU2</t>
  </si>
  <si>
    <t>Sum. i col. de Reixeta lineal d'aletes fixes paral·leles inclinació a concretar per la direcció d'obra a la cota major sèrie LMT+MISS+SP+CM (S) 9010 dim. 200x100, construïda en alumini i acabat PINTAT BLANC amb regulador de cabal d'aletes oposades, construït en acer electro-*zincado lacado negre SP, fixació amb clips (S) i marc de muntatge CM. Inclou plènum PMIS-L   Marca MADEL</t>
  </si>
  <si>
    <t>EG2DBGF7</t>
  </si>
  <si>
    <t>Safata metàl·lica de xapa llisa amb coberta d'acer galvanitzat en calent, d'alçària 100 mm i amplària 200 mm, col·locada sobre suports horitzontals amb elements de suport</t>
  </si>
  <si>
    <t>EEKCTY67</t>
  </si>
  <si>
    <t>Protecció de xapa d'alumini per a aillaments d'escumes elastomèriques per a canonades frigorífiques.</t>
  </si>
  <si>
    <t>QUADRE</t>
  </si>
  <si>
    <t>'01.02.03.01</t>
  </si>
  <si>
    <t>1G41RT6Y</t>
  </si>
  <si>
    <t>Subministrament i col·locació de quadre elèctric de climattizació i ventilació marca 'Schneider Electric' o equivalent, format per:
    - Element de protecció contra sobretensions transitòries i permanents.
    - Elements segons esquema unifilar
    - Pilots de senyalització.
    - Maniobres 
    - Totalment etiquetat.
    - Envolvent metàl·lica amb porta cega de xapa.
Segons esquemes unifilars amb un 50 % de superfície d'ampliació. Inclou material auxiliar i cablejat totalment muntat i en funcionament. Instal·lat segons normativa vigent, documentació gráfica i direcció facultativa.</t>
  </si>
  <si>
    <t>1G13ARN6</t>
  </si>
  <si>
    <t xml:space="preserve">Conjunt de partides per a la adició al quqdre general de la sortida i la protecció elèctrica del nou subquadre de la oficina i Sala de Conferencies, incloent la protecció corresponent i la connexió, i el cablejat elèctric intern, amb identificació de linies, tot segons Direcció d'Obra, amb materials auxiliarts, totalment connectat i comprobat. </t>
  </si>
  <si>
    <t>EG312666</t>
  </si>
  <si>
    <t>Cable amb conductor de coure de 0,6/1 kV de tensió assignada, amb designació RZ1-K (AS), pentapolar, de secció 5 x 10 mm2, amb coberta del cable de poliolefines amb baixa emissió fums, col·locat en canal o safata</t>
  </si>
  <si>
    <t>EG222B15</t>
  </si>
  <si>
    <t>Tub flexible corrugat de PVC, de 50 mm de diàmetre nominal, aïllant i no propagador de la flama, resistència a l'impacte d'1 J, resistència a compressió de 320 N i una rigidesa dielèctrica de 2000 V, muntat sobre sostremort</t>
  </si>
  <si>
    <t>ENLLUMENAT</t>
  </si>
  <si>
    <t>'01.02.03.02</t>
  </si>
  <si>
    <t>EG867114</t>
  </si>
  <si>
    <t>Detector de presencia, amb connexió a bus de cable, per a caixa universal, amb adaptador, placa i marc de preu superior, amb accessoris de muntatge, muntat i connectat</t>
  </si>
  <si>
    <t>EHA1U1LD</t>
  </si>
  <si>
    <t>Llumenera industrial amb reflector asimètric LED de 16 w, de forma rectangular, amb xassís de planxa d'acer perfilat i superficie de 60 cm</t>
  </si>
  <si>
    <t>EH61RC49</t>
  </si>
  <si>
    <t>Llum d'emergència amb làmpada led, amb una vida útil de 100000 h, no permanent i no estanca amb grau de protecció IP4X, aïllament classe II, amb un flux aproximat de 70 a 100 lúmens, 1 h d'autonomia, de forma rectangular amb difusor i cos de policarbonat, preu alt, col·locat superficial</t>
  </si>
  <si>
    <t>DISTRIBUCIÓ</t>
  </si>
  <si>
    <t>'01.02.03.03</t>
  </si>
  <si>
    <t>LY0Z2RR5</t>
  </si>
  <si>
    <t>Desplaçament de CANAL ALUMINI per generar el nou accés a les oficines, inclou material com canal peces espcials i calblejat de senyal i força maquinaria per a fer reparacions o muntatges</t>
  </si>
  <si>
    <t>EG2DF6E2</t>
  </si>
  <si>
    <t>Safata metàl·lica reixa d'acer galvanitzat en calent, d'alçària 50 mm i amplària 150 mm, col·locada suspesa de paraments horitzontals amb elements de suport</t>
  </si>
  <si>
    <t>EG611G2P</t>
  </si>
  <si>
    <t>Caixa de mecanismes per a paviment, de material plàstic, rectangular, amb capacitat per a 6 mecanismes de tipus modular de 2 mòduls estrets, col·locada enrassada amb el paviment inclous 4 endoslls schucko i 4 RJ45</t>
  </si>
  <si>
    <t>EG222715</t>
  </si>
  <si>
    <t>Tub flexible corrugat de PVC, de 20 mm de diàmetre nominal, aïllant i no propagador de la flama, resistència a l'impacte d'1 J, resistència a compressió de 320 N i una rigidesa dielèctrica de 2000 V, muntat sobre sostremort</t>
  </si>
  <si>
    <t>EG151522</t>
  </si>
  <si>
    <t>Caixa de derivació quadrada de plàstic, de 100x100 mm, amb grau de protecció IP-54, muntada superficialment</t>
  </si>
  <si>
    <t>EG312636</t>
  </si>
  <si>
    <t>Cable amb conductor de coure de 0,6/1 kV de tensió assignada, amb designació RZ1-K (AS), pentapolar, de secció 5 x 2,5 mm2, amb coberta del cable de poliolefines amb baixa emissió fums, col·locat en canal o safata</t>
  </si>
  <si>
    <t>EG23E815</t>
  </si>
  <si>
    <t>Tub rígid d'acer galvanitzat, de 25 mm de diàmetre nominal, resistència a l'impacte de 20 J, resistència a compressió de 4000 N, amb unió endollada i muntat superficialment</t>
  </si>
  <si>
    <t>EG161322</t>
  </si>
  <si>
    <t>Caixa de derivació rectangular de plàstic, de 100x140 mm, amb grau de protecció IP-54, muntada superficialment</t>
  </si>
  <si>
    <t>05</t>
  </si>
  <si>
    <t>SANEJAMENT</t>
  </si>
  <si>
    <t>Recollida de condensats</t>
  </si>
  <si>
    <t>'01.02.05.01</t>
  </si>
  <si>
    <t>1D11AR10</t>
  </si>
  <si>
    <t>Partida alçada a justificar del conjunt d'elements per a la recollida de condensats de les instal·lacions de climatització des de cada unitat de tractament d'aire fins a la connexió a xarxa de sanejament de l'edifici.</t>
  </si>
  <si>
    <t>EFA17342</t>
  </si>
  <si>
    <t>Tub de PVC de 40 mm de diàmetre nominal exterior, de 6 bar de pressió nominal, encolat, segons la norma UNE-EN 1452-2, amb grau de dificultat mitjà i col·locat superficialment</t>
  </si>
  <si>
    <t>06</t>
  </si>
  <si>
    <t>FONTANERIA</t>
  </si>
  <si>
    <t>'01.02.06</t>
  </si>
  <si>
    <t>EF52A3B1</t>
  </si>
  <si>
    <t>Tub de coure R250 (semidur) de 28 mm de diàmetre nominal, d'1 mm de gruix, segons la norma UNE-EN 1057, soldat per capil·laritat, amb grau de dificultat baix i col·locat superficialment</t>
  </si>
  <si>
    <t>EN316727</t>
  </si>
  <si>
    <t>Vàlvula de bola manual amb rosca, de dues peces amb pas total, de llautó, de diàmetre nominal 1´´, de 25 bar de PN i preu alt, muntada superficialment</t>
  </si>
  <si>
    <t>ESTABULARI</t>
  </si>
  <si>
    <t>'01.03.01</t>
  </si>
  <si>
    <t>121EARP2</t>
  </si>
  <si>
    <t xml:space="preserve">Conjunt d'actuacions de retirada del conjunt d'instal·lacions de climatització consistents en:
- instal·lació de climatització i ventilació: elements de difussió, canonades i elements hidràulics
- instal·lacions de control i regulació, consistents en termostats i elements actius,  recuperació equips electronics de control.
Inclou la retirada i conservació d'aquells elements a mantenir que indiqui la Direcció d'Obra. Queden inclosses totes les tasques de retirada, triatge en obra, transport intern, acopi, transport i deposició a gestor autoritzat, pagament de taxes i presentació de certificats finals. </t>
  </si>
  <si>
    <t>'01.03.02.04</t>
  </si>
  <si>
    <t>EE51IR5C</t>
  </si>
  <si>
    <t>PA</t>
  </si>
  <si>
    <t xml:space="preserve">Feines de connexió de difusors existents reubicats mitjançan plenum fet amb de fibra isover o  amb flexible </t>
  </si>
  <si>
    <t>'01.03.03</t>
  </si>
  <si>
    <t>EHA1OPT3</t>
  </si>
  <si>
    <t>Llumenera industrial amb reflector asimètric led de 40 w, de forma rectangular, amb xassís de planxa d'acer perfilat i suspesa amb classificació IP65. Amb flux de lluminós de 5573 lumens, control DALI, amb una temperatura de color de 3000ºK Marca: Garviled; model: OPTO-103-D13</t>
  </si>
  <si>
    <t>EHVW2345</t>
  </si>
  <si>
    <t>Submistre, instal·lació i programació i posada en funcionament de punt de control amb pantalla tàctil per controlar el sistema DALI.</t>
  </si>
  <si>
    <t>EHV31R5T</t>
  </si>
  <si>
    <t>Controlador DALI per a regulació i control d'1 grup de llums, amb alimentació i sortida de bus, per a col.locar en carril DIN, muntat i connectat, inclou font alimentació externa</t>
  </si>
  <si>
    <t>1G13RT6N</t>
  </si>
  <si>
    <t>Feines per conectar la intal·lacio de enllumenat a la xarxa elèctrica existent consistents en interceptar la línia  elèctrica fora de l'esbulari i col·locació de caixa de derivació per fer les conexions del control i les lluminaries, incloent caixes de connexió, canalitzacions i cablejat elèctric, amb identificació de linies, tot segons Direcció d'Obra, amb materials auxiliarts, totalment connectat i comprobat.</t>
  </si>
  <si>
    <t>INSTAL·LACIONS DE CONTROL</t>
  </si>
  <si>
    <t>'01.03.04</t>
  </si>
  <si>
    <t>EP434A50</t>
  </si>
  <si>
    <t>Cable per a transmissió de dades amb conductor de coure, de 4 parells, categoria 6a F/UTP, aïllament de poliolefina i coberta de poliolefina, de baixa emissió de fums i opacitat reduïda, no propagador de la flama segons UNE-EN 60332-1-2, col·locat sota tub o canal inclou la certificació del punt de dades on acaba el cable.</t>
  </si>
  <si>
    <t>EP43BY12</t>
  </si>
  <si>
    <t>Suministre i muntatge de Càmera IP domo per a circuit tancat de TV (CTTV), communtable color- de 1/4'' amb filtre ICR mecànic, , 360º  i zoom electrònic x10, alimentació a 24 Vac, receptor de telemetria multiprotocol, per a ús interior, amb bombolla transparent o fumada i amb suport encastat amb Carcassa antivandàlica per a càmera fixa de CTTV, per a ús interior IP66, Inclou sistema de connexionat a cable de xarxra F/UTP per a alimentació i transmissió de senyal/dades. Model FE9382 EHV marca Vivotek o superior.</t>
  </si>
  <si>
    <t>EPACUH2I</t>
  </si>
  <si>
    <t>Gravador digital, de 4 canals amb disc dur de  2 TB de capacitat, programació de qualitat i quantitat d'imatges per segon per a cada canal, control de telemetria per càmeres mòbils, transmissió TCP/IP incorporada amb connexió per iexplorer o programari remot, port USB per còpia de seguretat, per a muntage de superficie, instal.lat format de imatge H.265/H.264 Marca Vivotek; model: NVR ref ned 29322P + disc dur SATA  de 2Tbyte ref HDD-2000C
Icnluo posada en funcionament i programació.</t>
  </si>
  <si>
    <t>ABEURADOR</t>
  </si>
  <si>
    <t>'01.03.05.02</t>
  </si>
  <si>
    <t>'01.03.06</t>
  </si>
  <si>
    <t>EF5293B1</t>
  </si>
  <si>
    <t>Tub de coure R250 (semidur) de 22 mm de diàmetre nominal, d'1 mm de gruix, segons la norma UNE-EN 1057, soldat per capil·laritat, amb grau de dificultat baix i col·locat superficialment</t>
  </si>
  <si>
    <t>EJ2Z4139</t>
  </si>
  <si>
    <t>Aixeta de pas, encastada, de llautó cromat, preu mitjà, amb sortida de diàmetre 3/4´´ i entrada de 3/4´´</t>
  </si>
  <si>
    <t>EN315727</t>
  </si>
  <si>
    <t>Vàlvula de bola manual amb rosca, de dues peces amb pas total, de llautó, de diàmetre nominal 3/4´´, de 25 bar de PN i preu alt, muntada superficialment</t>
  </si>
  <si>
    <t>EN233A27</t>
  </si>
  <si>
    <t>Vàlvula de soleta manual tipus aixeta amb rosca, de diàmetre nominal 3/8´´, de 10 bar de pressió de prova, de bronze, preu alt i muntada superficialment</t>
  </si>
  <si>
    <t>CAMBRA FRIGORÍFICA</t>
  </si>
  <si>
    <t>INSTAL·LACIÓ CCAMBRA FRIGORÍFICA</t>
  </si>
  <si>
    <t>'01.04.02</t>
  </si>
  <si>
    <t>EEK11D71</t>
  </si>
  <si>
    <t xml:space="preserve">Reixeta d'impulsió o retorn, d'una filera d'aletes fixes horitzontals, d'alumini anoditzat platejat, de 400x200 mm, d'aletes separades de secció recta i fixada al bastiment  </t>
  </si>
  <si>
    <t>EQ9CHI01</t>
  </si>
  <si>
    <t>Subministrament i muntatge de cambra frigorífica de conservació a 0ºC panelable de dimensions segons documentació gràfica, amb una alçada interior de 2,55 m. i una porta amb finestreta, pivotant de 1,2x2,2 m, fulla de 60 mm. amb palanca de tancament a pressió amb molles permet el tancament sense moure la palanca, la porta tancada també es pot obrir per dins; interrupor de portes i marc panell en alumini anoditzat. Muntatge de perfil sanitari en tots els perímetres interiors de la càmera.
Tancaments verticals i de sostre de panells modulars llisos de 105 mm. i de cants transversals plans, formats en el seu interior per escuma rígida de poliuretà o poliisocianurat, de densitat nominal 40 kg/m³ i en el seus exteriors per xapa d'acer galvanitzat de 0,5 mm de gruix. Classificació al foc europea B-s2,d0.
Tancament del terra: de panells modulars reforçats de 60 mm,  d'escuma rígida de poliisocianurat, de densitat nominal de 32 kg/m³ recobertes en ambdues cares amb un complex kraft alumini, acabat en acer inoxidable anti-lliscant.
Inclou materials auxiliars com perfils, accessoris de rematería, interruptor de portes, etc.., totalment muntat, instal·lat i connectat</t>
  </si>
  <si>
    <t>EQ9CBIE9</t>
  </si>
  <si>
    <t xml:space="preserve">Reubicació d'equip frigorífic zanotti </t>
  </si>
  <si>
    <t>E9M1GTYU</t>
  </si>
  <si>
    <t>Impermebalització del terra de la cambra frigorífica amb 2 capes resina sintètica, amb dotació d'1,6 kg/m2</t>
  </si>
  <si>
    <t>'01.04.03</t>
  </si>
  <si>
    <t>EHA1OV2U</t>
  </si>
  <si>
    <t>Llumenera industrial especial per a cambra firgorífica de LED. de forma rectangular, amb xassís metàlic i suspesa amb classificació IP65. Amb flux de lluminós mínim de 500 lumens, amb una temperatura de color de 3000ºK</t>
  </si>
  <si>
    <t>EM121GT2</t>
  </si>
  <si>
    <t>Alarma de presencia dintre de cambra frigorifica segons Real Decret 138/2011</t>
  </si>
  <si>
    <t>'01.04.04.01</t>
  </si>
  <si>
    <t>EFA18345</t>
  </si>
  <si>
    <t>Tub de PVC de 50 mm de diàmetre nominal exterior, de 6 bar de pressió nominal, encolat, segons la norma UNE-EN 1452-2, amb grau de dificultat mitjà i col·locat al fons de la rasa</t>
  </si>
  <si>
    <t>EY01RTFG</t>
  </si>
  <si>
    <t>Obertura de rasa en paviment de formigó, amb mitjans mecànics i tapada amb formigó i acabat lliscat.</t>
  </si>
  <si>
    <t>ED510H71</t>
  </si>
  <si>
    <t>Bonera sifònica d'ABS, de 50 mm de diàmetre, amb tapa antigrava metàl·lica, adherida sobre làmina bituminosa en calent</t>
  </si>
  <si>
    <t>E2133342</t>
  </si>
  <si>
    <t>m3</t>
  </si>
  <si>
    <t>Enderroc de fonament en lloses de formigó armat, a mà i amb compressor i càrrega mecànica de runa sobre camió</t>
  </si>
  <si>
    <t>07</t>
  </si>
  <si>
    <t>COMUNICACIONS SALA RACK</t>
  </si>
  <si>
    <t>'01.07</t>
  </si>
  <si>
    <t>EP7ZGT76</t>
  </si>
  <si>
    <t>Panell fix amb connectors telefònics integrats, equipat amb50 connectors RJ45 categoria 3, per a muntar sobre bastidor rack 19´´, d'1 unitat d'alçària, amb organitzador de cables, fixat mecànicament</t>
  </si>
  <si>
    <t>EP7ZG1HP</t>
  </si>
  <si>
    <t>Submnistre de conjunt de components electrònics inclòs el Panell SWITCH CISCO, equipat amb48 connectors RJ45 categoria 3, per a muntar sobre bastidor rack 19´´, d'1 unitat d'alçària, amb organitzador de cables, fixat mecànicament format per 
                WS-C2960X-48TS-L
                Catalyst C-2960 X 48 GigE
                Catalyst 2960-X  FlexStack plus Stacking Module
                Cisco FlexStack 50 cm Stacking cable</t>
  </si>
  <si>
    <t>EP7ZCABL</t>
  </si>
  <si>
    <t>Submnistre de maneguet amb conectors RJ45</t>
  </si>
  <si>
    <t>EG2DF6F2</t>
  </si>
  <si>
    <t>Safata metàl·lica reixa d'acer galvanitzat en calent, d'alçària 50 mm i amplària 200 mm, col·locada suspesa de paraments horitzontals amb elements de suport</t>
  </si>
  <si>
    <t>08</t>
  </si>
  <si>
    <t>ALTRES ACCIONS</t>
  </si>
  <si>
    <t>Altres accions</t>
  </si>
  <si>
    <t>'01.08.01</t>
  </si>
  <si>
    <t>E000AE11</t>
  </si>
  <si>
    <t>Partida alçada a jutificar amb preus aplicables de projecte per imprevistos i despeses adicionals.</t>
  </si>
  <si>
    <t>1G13DRT6</t>
  </si>
  <si>
    <t>Conjunt de partides per a la realització dels pasos de canalitzacions electriques, de clima, fontaneria o sanejament, a través de forjats, façanes o qualsevol tipus de paraments verticals o horitzontal, tot segons Direcció d'Obra, amb materials auxiliarts, inclou: la perforació i el segellat,  la impermeabilització en cas necessari.</t>
  </si>
  <si>
    <t>EY011FRT</t>
  </si>
  <si>
    <t>Obertura de regata en parament vertical o oritzontal, amb mitjans mecànics i tapada amb morter de ciment 1:4</t>
  </si>
  <si>
    <t>INSTAL·LACIÓ INCENDIS</t>
  </si>
  <si>
    <t>'01.08.02</t>
  </si>
  <si>
    <t>EM112120</t>
  </si>
  <si>
    <t>Sensor de fums òptic per a instal·lació contra incendis analògica, segons norma UNE-EN 54-7, amb base de superfície, muntat superficialment Marca Kilsen model: KL-731A la base: KZ700</t>
  </si>
  <si>
    <t>EM31261J</t>
  </si>
  <si>
    <t>Extintor manual de pols seca polivalent, de càrrega 6 kg, amb pressió incorporada, pintat, amb suport a paret</t>
  </si>
  <si>
    <t>EP49NRF1</t>
  </si>
  <si>
    <t>Cable per a bus de detecció incendis paral·lel bicolor trenat i apantallat amb funada vermella de 2x1,5 mm2, aïllament plàstic lliure d'halògens, Resitent al foc AS+  col·locat en tub</t>
  </si>
  <si>
    <t>EM132311</t>
  </si>
  <si>
    <t>Sirena electrònica per a instal·lació analògica, nivell de potència acústica 102 dB, alimentada des del llaç, so multitò, grau de protecció IP-54, fabricada segons la norma UNE-EN 54-3, col·locada a l'interior</t>
  </si>
  <si>
    <t>EM14B5TR</t>
  </si>
  <si>
    <t>Polsador d'alarma per a instal·lació contra incendis analògica, accionament manual per canvi posició d'element fràgil (rearmable), direccionable, segons norma UNE-EN 54-11, muntat superficialment</t>
  </si>
  <si>
    <t>EG222711</t>
  </si>
  <si>
    <t>Tub flexible corrugat de PVC, de 20 mm de diàmetre nominal, aïllant i no propagador de la flama, resistència a l'impacte d'1 J, resistència a compressió de 320 N i una rigidesa dielèctrica de 2000 V, muntat encastat</t>
  </si>
  <si>
    <t>09</t>
  </si>
  <si>
    <t>SEGURETAT I SALUT</t>
  </si>
  <si>
    <t>'01.09</t>
  </si>
  <si>
    <t>HB2AAE10</t>
  </si>
  <si>
    <t>Partida alçada a juntificar per al conjunt de mesures de serguretat i salut tant internes de la obra, com les per minimitzar les afectacions als ocupants de l'edifici.</t>
  </si>
  <si>
    <t>EQ9CVTY3</t>
  </si>
  <si>
    <t>Cambra frigorífica panelable de conservació, de 226x580x260 cm, amb porta pivotant de 80x190 cm, panells modulars de 8 cm, amb il.luminació interior estanca amb 2 pantalles de 2 x18 W, Tª (+4/+6 ºC), amb terra reforçat anti-lliscant. Perfil sanitari al terra, verticals i sostre. Totalment instal.lada amb tots els accessoris i connectada. Marca: Grupcif</t>
  </si>
  <si>
    <t xml:space="preserve">IMPORT TOTAL DEL PRESSUPOST : </t>
  </si>
  <si>
    <t>PRESSUPOST INSTAL·LACIONS</t>
  </si>
  <si>
    <t xml:space="preserve">IMPORT TOTAL DEL PRESSUPOST INSTAL·LACIONS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</si>
</sst>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.00"/>
    <numFmt numFmtId="165" formatCode="###,###,##0.000"/>
  </numFmts>
  <fonts count="5" x14ac:knownFonts="1"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8">
    <xf numFmtId="0" fontId="0" fillId="0" borderId="0" xfId="0" applyFill="1" applyProtection="1"/>
    <xf numFmtId="0" fontId="1" fillId="0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right"/>
    </xf>
    <xf numFmtId="0" fontId="3" fillId="0" borderId="0" xfId="0" applyFont="1" applyFill="1" applyProtection="1"/>
    <xf numFmtId="49" fontId="3" fillId="0" borderId="0" xfId="0" applyNumberFormat="1" applyFont="1" applyFill="1" applyProtection="1"/>
    <xf numFmtId="49" fontId="1" fillId="0" borderId="0" xfId="0" applyNumberFormat="1" applyFont="1" applyFill="1" applyProtection="1"/>
    <xf numFmtId="0" fontId="1" fillId="0" borderId="0" xfId="0" applyFont="1" applyFill="1" applyAlignment="1" applyProtection="1">
      <alignment wrapText="1"/>
    </xf>
    <xf numFmtId="164" fontId="1" fillId="4" borderId="0" xfId="0" applyNumberFormat="1" applyFont="1" applyFill="1" applyProtection="1">
      <protection locked="0"/>
    </xf>
    <xf numFmtId="165" fontId="1" fillId="4" borderId="0" xfId="0" applyNumberFormat="1" applyFont="1" applyFill="1" applyProtection="1">
      <protection locked="0"/>
    </xf>
    <xf numFmtId="164" fontId="1" fillId="0" borderId="0" xfId="0" applyNumberFormat="1" applyFont="1" applyFill="1" applyProtection="1"/>
    <xf numFmtId="164" fontId="3" fillId="0" borderId="0" xfId="0" applyNumberFormat="1" applyFont="1" applyFill="1" applyProtection="1"/>
    <xf numFmtId="0" fontId="1" fillId="0" borderId="0" xfId="0" applyFont="1" applyFill="1" applyProtection="1"/>
    <xf numFmtId="0" fontId="4" fillId="0" borderId="0" xfId="0" applyFont="1" applyFill="1" applyProtection="1"/>
    <xf numFmtId="164" fontId="4" fillId="0" borderId="0" xfId="0" applyNumberFormat="1" applyFont="1" applyFill="1" applyProtection="1"/>
    <xf numFmtId="0" fontId="1" fillId="0" borderId="0" xfId="0" applyFont="1" applyFill="1" applyProtection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tabSelected="1" topLeftCell="B1" workbookViewId="0">
      <pane ySplit="8" topLeftCell="A279" activePane="bottomLeft" state="frozenSplit"/>
      <selection pane="bottomLeft" activeCell="H293" sqref="H293"/>
    </sheetView>
  </sheetViews>
  <sheetFormatPr baseColWidth="10" defaultColWidth="8.85546875" defaultRowHeight="15" x14ac:dyDescent="0.25"/>
  <cols>
    <col min="1" max="1" width="18.7109375" hidden="1" customWidth="1"/>
    <col min="2" max="2" width="3.42578125" customWidth="1"/>
    <col min="3" max="3" width="13.7109375" customWidth="1"/>
    <col min="4" max="4" width="4.42578125" customWidth="1"/>
    <col min="5" max="5" width="48.7109375" customWidth="1"/>
    <col min="6" max="7" width="12.7109375" customWidth="1"/>
    <col min="8" max="8" width="13.7109375" customWidth="1"/>
  </cols>
  <sheetData>
    <row r="1" spans="1:8" x14ac:dyDescent="0.25">
      <c r="E1" s="16" t="s">
        <v>0</v>
      </c>
      <c r="F1" s="16" t="s">
        <v>0</v>
      </c>
      <c r="G1" s="16" t="s">
        <v>0</v>
      </c>
      <c r="H1" s="16" t="s">
        <v>0</v>
      </c>
    </row>
    <row r="2" spans="1:8" x14ac:dyDescent="0.25">
      <c r="E2" s="16"/>
      <c r="F2" s="16"/>
      <c r="G2" s="16"/>
      <c r="H2" s="16"/>
    </row>
    <row r="3" spans="1:8" x14ac:dyDescent="0.25">
      <c r="E3" s="16"/>
      <c r="F3" s="16"/>
      <c r="G3" s="16"/>
      <c r="H3" s="16"/>
    </row>
    <row r="4" spans="1:8" x14ac:dyDescent="0.25">
      <c r="E4" s="16"/>
      <c r="F4" s="16"/>
      <c r="G4" s="16"/>
      <c r="H4" s="16"/>
    </row>
    <row r="6" spans="1:8" ht="18.75" x14ac:dyDescent="0.3">
      <c r="C6" s="2"/>
      <c r="D6" s="2"/>
      <c r="E6" s="3" t="s">
        <v>275</v>
      </c>
      <c r="F6" s="2"/>
      <c r="G6" s="2"/>
      <c r="H6" s="2"/>
    </row>
    <row r="8" spans="1:8" x14ac:dyDescent="0.25">
      <c r="F8" s="4" t="s">
        <v>1</v>
      </c>
      <c r="G8" s="4" t="s">
        <v>2</v>
      </c>
      <c r="H8" s="4" t="s">
        <v>3</v>
      </c>
    </row>
    <row r="10" spans="1:8" x14ac:dyDescent="0.25">
      <c r="C10" s="5" t="s">
        <v>4</v>
      </c>
      <c r="D10" s="6" t="s">
        <v>5</v>
      </c>
      <c r="E10" s="5" t="s">
        <v>6</v>
      </c>
    </row>
    <row r="11" spans="1:8" x14ac:dyDescent="0.25">
      <c r="C11" s="5" t="s">
        <v>7</v>
      </c>
      <c r="D11" s="6" t="s">
        <v>8</v>
      </c>
      <c r="E11" s="5" t="s">
        <v>9</v>
      </c>
    </row>
    <row r="13" spans="1:8" ht="409.6" x14ac:dyDescent="0.25">
      <c r="A13" s="7" t="s">
        <v>10</v>
      </c>
      <c r="B13" s="1">
        <v>1</v>
      </c>
      <c r="C13" s="7" t="s">
        <v>11</v>
      </c>
      <c r="D13" s="7" t="s">
        <v>12</v>
      </c>
      <c r="E13" s="8" t="s">
        <v>13</v>
      </c>
      <c r="F13" s="9">
        <v>0</v>
      </c>
      <c r="G13" s="10">
        <v>1</v>
      </c>
      <c r="H13" s="11">
        <f>ROUND(ROUND(F13,2)*ROUND(G13,3),2)</f>
        <v>0</v>
      </c>
    </row>
    <row r="14" spans="1:8" ht="409.6" x14ac:dyDescent="0.25">
      <c r="A14" s="7" t="s">
        <v>10</v>
      </c>
      <c r="B14" s="1">
        <v>2</v>
      </c>
      <c r="C14" s="7" t="s">
        <v>14</v>
      </c>
      <c r="D14" s="7" t="s">
        <v>12</v>
      </c>
      <c r="E14" s="8" t="s">
        <v>15</v>
      </c>
      <c r="F14" s="9">
        <v>0</v>
      </c>
      <c r="G14" s="10">
        <v>1</v>
      </c>
      <c r="H14" s="11">
        <f>ROUND(ROUND(F14,2)*ROUND(G14,3),2)</f>
        <v>0</v>
      </c>
    </row>
    <row r="15" spans="1:8" x14ac:dyDescent="0.25">
      <c r="E15" s="5" t="s">
        <v>16</v>
      </c>
      <c r="F15" s="5"/>
      <c r="G15" s="5"/>
      <c r="H15" s="12">
        <f>SUM(H13:H14)</f>
        <v>0</v>
      </c>
    </row>
    <row r="17" spans="1:8" x14ac:dyDescent="0.25">
      <c r="C17" s="5" t="s">
        <v>4</v>
      </c>
      <c r="D17" s="6" t="s">
        <v>5</v>
      </c>
      <c r="E17" s="5" t="s">
        <v>6</v>
      </c>
    </row>
    <row r="18" spans="1:8" x14ac:dyDescent="0.25">
      <c r="C18" s="5" t="s">
        <v>7</v>
      </c>
      <c r="D18" s="6" t="s">
        <v>5</v>
      </c>
      <c r="E18" s="5" t="s">
        <v>17</v>
      </c>
    </row>
    <row r="19" spans="1:8" x14ac:dyDescent="0.25">
      <c r="C19" s="5" t="s">
        <v>18</v>
      </c>
      <c r="D19" s="6" t="s">
        <v>19</v>
      </c>
      <c r="E19" s="5" t="s">
        <v>20</v>
      </c>
    </row>
    <row r="20" spans="1:8" x14ac:dyDescent="0.25">
      <c r="C20" s="5" t="s">
        <v>21</v>
      </c>
      <c r="D20" s="6" t="s">
        <v>22</v>
      </c>
      <c r="E20" s="5" t="s">
        <v>23</v>
      </c>
    </row>
    <row r="22" spans="1:8" ht="68.25" x14ac:dyDescent="0.25">
      <c r="A22" s="7" t="s">
        <v>24</v>
      </c>
      <c r="B22" s="1">
        <v>1</v>
      </c>
      <c r="C22" s="7" t="s">
        <v>25</v>
      </c>
      <c r="D22" s="7" t="s">
        <v>26</v>
      </c>
      <c r="E22" s="8" t="s">
        <v>27</v>
      </c>
      <c r="F22" s="9">
        <f>23.85*1.1</f>
        <v>26.235000000000003</v>
      </c>
      <c r="G22" s="10">
        <v>6</v>
      </c>
      <c r="H22" s="11">
        <f t="shared" ref="H22:H32" si="0">ROUND(ROUND(F22,2)*ROUND(G22,3),2)</f>
        <v>157.44</v>
      </c>
    </row>
    <row r="23" spans="1:8" ht="34.5" x14ac:dyDescent="0.25">
      <c r="A23" s="7" t="s">
        <v>24</v>
      </c>
      <c r="B23" s="1">
        <v>2</v>
      </c>
      <c r="C23" s="7" t="s">
        <v>28</v>
      </c>
      <c r="D23" s="7" t="s">
        <v>12</v>
      </c>
      <c r="E23" s="8" t="s">
        <v>29</v>
      </c>
      <c r="F23" s="9">
        <f>71.53*1.1</f>
        <v>78.683000000000007</v>
      </c>
      <c r="G23" s="10">
        <v>1</v>
      </c>
      <c r="H23" s="11">
        <f t="shared" si="0"/>
        <v>78.680000000000007</v>
      </c>
    </row>
    <row r="24" spans="1:8" ht="68.25" x14ac:dyDescent="0.25">
      <c r="A24" s="7" t="s">
        <v>24</v>
      </c>
      <c r="B24" s="1">
        <v>3</v>
      </c>
      <c r="C24" s="7" t="s">
        <v>30</v>
      </c>
      <c r="D24" s="7" t="s">
        <v>12</v>
      </c>
      <c r="E24" s="8" t="s">
        <v>31</v>
      </c>
      <c r="F24" s="9">
        <f>119.32*1.1</f>
        <v>131.25200000000001</v>
      </c>
      <c r="G24" s="10">
        <v>4</v>
      </c>
      <c r="H24" s="11">
        <f t="shared" si="0"/>
        <v>525</v>
      </c>
    </row>
    <row r="25" spans="1:8" ht="34.5" x14ac:dyDescent="0.25">
      <c r="A25" s="7" t="s">
        <v>24</v>
      </c>
      <c r="B25" s="1">
        <v>4</v>
      </c>
      <c r="C25" s="7" t="s">
        <v>32</v>
      </c>
      <c r="D25" s="7" t="s">
        <v>33</v>
      </c>
      <c r="E25" s="8" t="s">
        <v>34</v>
      </c>
      <c r="F25" s="9">
        <f>10.69*1.1</f>
        <v>11.759</v>
      </c>
      <c r="G25" s="10">
        <v>4</v>
      </c>
      <c r="H25" s="11">
        <f t="shared" si="0"/>
        <v>47.04</v>
      </c>
    </row>
    <row r="26" spans="1:8" ht="34.5" x14ac:dyDescent="0.25">
      <c r="A26" s="7" t="s">
        <v>24</v>
      </c>
      <c r="B26" s="1">
        <v>5</v>
      </c>
      <c r="C26" s="7" t="s">
        <v>35</v>
      </c>
      <c r="D26" s="7" t="s">
        <v>33</v>
      </c>
      <c r="E26" s="8" t="s">
        <v>36</v>
      </c>
      <c r="F26" s="9">
        <f>11.89*1.1</f>
        <v>13.079000000000002</v>
      </c>
      <c r="G26" s="10">
        <v>2</v>
      </c>
      <c r="H26" s="11">
        <f t="shared" si="0"/>
        <v>26.16</v>
      </c>
    </row>
    <row r="27" spans="1:8" ht="45.75" x14ac:dyDescent="0.25">
      <c r="A27" s="7" t="s">
        <v>24</v>
      </c>
      <c r="B27" s="1">
        <v>6</v>
      </c>
      <c r="C27" s="7" t="s">
        <v>37</v>
      </c>
      <c r="D27" s="7" t="s">
        <v>12</v>
      </c>
      <c r="E27" s="8" t="s">
        <v>38</v>
      </c>
      <c r="F27" s="9">
        <f>43.75*1.1</f>
        <v>48.125000000000007</v>
      </c>
      <c r="G27" s="10">
        <v>1</v>
      </c>
      <c r="H27" s="11">
        <f t="shared" si="0"/>
        <v>48.13</v>
      </c>
    </row>
    <row r="28" spans="1:8" ht="68.25" x14ac:dyDescent="0.25">
      <c r="A28" s="7" t="s">
        <v>24</v>
      </c>
      <c r="B28" s="1">
        <v>7</v>
      </c>
      <c r="C28" s="7" t="s">
        <v>39</v>
      </c>
      <c r="D28" s="7" t="s">
        <v>12</v>
      </c>
      <c r="E28" s="8" t="s">
        <v>40</v>
      </c>
      <c r="F28" s="9">
        <f>257.57*1.1</f>
        <v>283.327</v>
      </c>
      <c r="G28" s="10">
        <v>1</v>
      </c>
      <c r="H28" s="11">
        <f t="shared" si="0"/>
        <v>283.33</v>
      </c>
    </row>
    <row r="29" spans="1:8" x14ac:dyDescent="0.25">
      <c r="A29" s="7" t="s">
        <v>24</v>
      </c>
      <c r="B29" s="1">
        <v>8</v>
      </c>
      <c r="C29" s="7" t="s">
        <v>41</v>
      </c>
      <c r="D29" s="7" t="s">
        <v>12</v>
      </c>
      <c r="E29" s="8" t="s">
        <v>42</v>
      </c>
      <c r="F29" s="9">
        <f>61.99*1.1</f>
        <v>68.189000000000007</v>
      </c>
      <c r="G29" s="10">
        <v>1</v>
      </c>
      <c r="H29" s="11">
        <f t="shared" si="0"/>
        <v>68.19</v>
      </c>
    </row>
    <row r="30" spans="1:8" ht="68.25" x14ac:dyDescent="0.25">
      <c r="A30" s="7" t="s">
        <v>24</v>
      </c>
      <c r="B30" s="1">
        <v>9</v>
      </c>
      <c r="C30" s="7" t="s">
        <v>43</v>
      </c>
      <c r="D30" s="7" t="s">
        <v>12</v>
      </c>
      <c r="E30" s="8" t="s">
        <v>44</v>
      </c>
      <c r="F30" s="9">
        <f>136.75*1.1</f>
        <v>150.42500000000001</v>
      </c>
      <c r="G30" s="10">
        <v>1</v>
      </c>
      <c r="H30" s="11">
        <f t="shared" si="0"/>
        <v>150.43</v>
      </c>
    </row>
    <row r="31" spans="1:8" x14ac:dyDescent="0.25">
      <c r="A31" s="7" t="s">
        <v>24</v>
      </c>
      <c r="B31" s="1">
        <v>10</v>
      </c>
      <c r="C31" s="7" t="s">
        <v>45</v>
      </c>
      <c r="D31" s="7" t="s">
        <v>12</v>
      </c>
      <c r="E31" s="13" t="s">
        <v>42</v>
      </c>
      <c r="F31" s="9">
        <f>65.99*1.1</f>
        <v>72.588999999999999</v>
      </c>
      <c r="G31" s="10">
        <v>1</v>
      </c>
      <c r="H31" s="11">
        <f t="shared" si="0"/>
        <v>72.59</v>
      </c>
    </row>
    <row r="32" spans="1:8" x14ac:dyDescent="0.25">
      <c r="A32" s="7" t="s">
        <v>24</v>
      </c>
      <c r="B32" s="1">
        <v>11</v>
      </c>
      <c r="C32" s="7" t="s">
        <v>46</v>
      </c>
      <c r="D32" s="7" t="s">
        <v>12</v>
      </c>
      <c r="E32" s="13" t="s">
        <v>42</v>
      </c>
      <c r="F32" s="9">
        <f>132.25*1.1</f>
        <v>145.47500000000002</v>
      </c>
      <c r="G32" s="10">
        <v>1</v>
      </c>
      <c r="H32" s="11">
        <f t="shared" si="0"/>
        <v>145.47999999999999</v>
      </c>
    </row>
    <row r="33" spans="1:8" x14ac:dyDescent="0.25">
      <c r="E33" s="5" t="s">
        <v>16</v>
      </c>
      <c r="F33" s="5"/>
      <c r="G33" s="5"/>
      <c r="H33" s="12">
        <v>1602.42</v>
      </c>
    </row>
    <row r="35" spans="1:8" x14ac:dyDescent="0.25">
      <c r="C35" s="5" t="s">
        <v>4</v>
      </c>
      <c r="D35" s="6" t="s">
        <v>5</v>
      </c>
      <c r="E35" s="5" t="s">
        <v>6</v>
      </c>
    </row>
    <row r="36" spans="1:8" x14ac:dyDescent="0.25">
      <c r="C36" s="5" t="s">
        <v>7</v>
      </c>
      <c r="D36" s="6" t="s">
        <v>5</v>
      </c>
      <c r="E36" s="5" t="s">
        <v>17</v>
      </c>
    </row>
    <row r="37" spans="1:8" x14ac:dyDescent="0.25">
      <c r="C37" s="5" t="s">
        <v>18</v>
      </c>
      <c r="D37" s="6" t="s">
        <v>47</v>
      </c>
      <c r="E37" s="5" t="s">
        <v>48</v>
      </c>
    </row>
    <row r="39" spans="1:8" ht="34.5" x14ac:dyDescent="0.25">
      <c r="A39" s="7" t="s">
        <v>49</v>
      </c>
      <c r="B39" s="1">
        <v>1</v>
      </c>
      <c r="C39" s="7" t="s">
        <v>50</v>
      </c>
      <c r="D39" s="7" t="s">
        <v>33</v>
      </c>
      <c r="E39" s="8" t="s">
        <v>51</v>
      </c>
      <c r="F39" s="9">
        <f>18.76*1.1</f>
        <v>20.636000000000003</v>
      </c>
      <c r="G39" s="10">
        <v>25</v>
      </c>
      <c r="H39" s="11">
        <f t="shared" ref="H39:H51" si="1">ROUND(ROUND(F39,2)*ROUND(G39,3),2)</f>
        <v>516</v>
      </c>
    </row>
    <row r="40" spans="1:8" ht="23.25" x14ac:dyDescent="0.25">
      <c r="A40" s="7" t="s">
        <v>49</v>
      </c>
      <c r="B40" s="1">
        <v>2</v>
      </c>
      <c r="C40" s="7" t="s">
        <v>52</v>
      </c>
      <c r="D40" s="7" t="s">
        <v>33</v>
      </c>
      <c r="E40" s="8" t="s">
        <v>53</v>
      </c>
      <c r="F40" s="9">
        <f>3.87*1.1</f>
        <v>4.2570000000000006</v>
      </c>
      <c r="G40" s="10">
        <v>26</v>
      </c>
      <c r="H40" s="11">
        <f t="shared" si="1"/>
        <v>110.76</v>
      </c>
    </row>
    <row r="41" spans="1:8" ht="57" x14ac:dyDescent="0.25">
      <c r="A41" s="7" t="s">
        <v>49</v>
      </c>
      <c r="B41" s="1">
        <v>3</v>
      </c>
      <c r="C41" s="7" t="s">
        <v>54</v>
      </c>
      <c r="D41" s="7" t="s">
        <v>12</v>
      </c>
      <c r="E41" s="8" t="s">
        <v>55</v>
      </c>
      <c r="F41" s="9">
        <f>88.16*1.1</f>
        <v>96.975999999999999</v>
      </c>
      <c r="G41" s="10">
        <v>1</v>
      </c>
      <c r="H41" s="11">
        <f t="shared" si="1"/>
        <v>96.98</v>
      </c>
    </row>
    <row r="42" spans="1:8" ht="45.75" x14ac:dyDescent="0.25">
      <c r="A42" s="7" t="s">
        <v>49</v>
      </c>
      <c r="B42" s="1">
        <v>4</v>
      </c>
      <c r="C42" s="7" t="s">
        <v>56</v>
      </c>
      <c r="D42" s="7" t="s">
        <v>33</v>
      </c>
      <c r="E42" s="8" t="s">
        <v>57</v>
      </c>
      <c r="F42" s="9">
        <f>1.3*1.1</f>
        <v>1.4300000000000002</v>
      </c>
      <c r="G42" s="10">
        <v>114</v>
      </c>
      <c r="H42" s="11">
        <f t="shared" si="1"/>
        <v>163.02000000000001</v>
      </c>
    </row>
    <row r="43" spans="1:8" ht="57" x14ac:dyDescent="0.25">
      <c r="A43" s="7" t="s">
        <v>49</v>
      </c>
      <c r="B43" s="1">
        <v>5</v>
      </c>
      <c r="C43" s="7" t="s">
        <v>58</v>
      </c>
      <c r="D43" s="7" t="s">
        <v>33</v>
      </c>
      <c r="E43" s="8" t="s">
        <v>59</v>
      </c>
      <c r="F43" s="9">
        <f>35.1*1.1</f>
        <v>38.610000000000007</v>
      </c>
      <c r="G43" s="10">
        <v>6.5</v>
      </c>
      <c r="H43" s="11">
        <f t="shared" si="1"/>
        <v>250.97</v>
      </c>
    </row>
    <row r="44" spans="1:8" ht="45.75" x14ac:dyDescent="0.25">
      <c r="A44" s="7" t="s">
        <v>49</v>
      </c>
      <c r="B44" s="1">
        <v>6</v>
      </c>
      <c r="C44" s="7" t="s">
        <v>60</v>
      </c>
      <c r="D44" s="7" t="s">
        <v>12</v>
      </c>
      <c r="E44" s="8" t="s">
        <v>61</v>
      </c>
      <c r="F44" s="9">
        <f>50.53*1.1</f>
        <v>55.583000000000006</v>
      </c>
      <c r="G44" s="10">
        <v>2</v>
      </c>
      <c r="H44" s="11">
        <f t="shared" si="1"/>
        <v>111.16</v>
      </c>
    </row>
    <row r="45" spans="1:8" ht="23.25" x14ac:dyDescent="0.25">
      <c r="A45" s="7" t="s">
        <v>49</v>
      </c>
      <c r="B45" s="1">
        <v>7</v>
      </c>
      <c r="C45" s="7" t="s">
        <v>62</v>
      </c>
      <c r="D45" s="7" t="s">
        <v>12</v>
      </c>
      <c r="E45" s="8" t="s">
        <v>63</v>
      </c>
      <c r="F45" s="9">
        <f>6.74*1.1</f>
        <v>7.4140000000000006</v>
      </c>
      <c r="G45" s="10">
        <v>2</v>
      </c>
      <c r="H45" s="11">
        <f t="shared" si="1"/>
        <v>14.82</v>
      </c>
    </row>
    <row r="46" spans="1:8" ht="23.25" x14ac:dyDescent="0.25">
      <c r="A46" s="7" t="s">
        <v>49</v>
      </c>
      <c r="B46" s="1">
        <v>8</v>
      </c>
      <c r="C46" s="7" t="s">
        <v>64</v>
      </c>
      <c r="D46" s="7" t="s">
        <v>12</v>
      </c>
      <c r="E46" s="8" t="s">
        <v>65</v>
      </c>
      <c r="F46" s="9">
        <f>7.99*1.1</f>
        <v>8.7890000000000015</v>
      </c>
      <c r="G46" s="10">
        <v>1</v>
      </c>
      <c r="H46" s="11">
        <f t="shared" si="1"/>
        <v>8.7899999999999991</v>
      </c>
    </row>
    <row r="47" spans="1:8" ht="34.5" x14ac:dyDescent="0.25">
      <c r="A47" s="7" t="s">
        <v>49</v>
      </c>
      <c r="B47" s="1">
        <v>9</v>
      </c>
      <c r="C47" s="7" t="s">
        <v>66</v>
      </c>
      <c r="D47" s="7" t="s">
        <v>12</v>
      </c>
      <c r="E47" s="8" t="s">
        <v>67</v>
      </c>
      <c r="F47" s="9">
        <f>12.32*1.1</f>
        <v>13.552000000000001</v>
      </c>
      <c r="G47" s="10">
        <v>1</v>
      </c>
      <c r="H47" s="11">
        <f t="shared" si="1"/>
        <v>13.55</v>
      </c>
    </row>
    <row r="48" spans="1:8" ht="45.75" x14ac:dyDescent="0.25">
      <c r="A48" s="7" t="s">
        <v>49</v>
      </c>
      <c r="B48" s="1">
        <v>10</v>
      </c>
      <c r="C48" s="7" t="s">
        <v>68</v>
      </c>
      <c r="D48" s="7" t="s">
        <v>33</v>
      </c>
      <c r="E48" s="8" t="s">
        <v>69</v>
      </c>
      <c r="F48" s="9">
        <f>1.63*1.1</f>
        <v>1.7929999999999999</v>
      </c>
      <c r="G48" s="10">
        <v>80</v>
      </c>
      <c r="H48" s="11">
        <f t="shared" si="1"/>
        <v>143.19999999999999</v>
      </c>
    </row>
    <row r="49" spans="1:8" ht="57" x14ac:dyDescent="0.25">
      <c r="A49" s="7" t="s">
        <v>49</v>
      </c>
      <c r="B49" s="1">
        <v>11</v>
      </c>
      <c r="C49" s="7" t="s">
        <v>70</v>
      </c>
      <c r="D49" s="7" t="s">
        <v>12</v>
      </c>
      <c r="E49" s="8" t="s">
        <v>71</v>
      </c>
      <c r="F49" s="9">
        <f>88.16*1.1</f>
        <v>96.975999999999999</v>
      </c>
      <c r="G49" s="10">
        <v>1</v>
      </c>
      <c r="H49" s="11">
        <f t="shared" si="1"/>
        <v>96.98</v>
      </c>
    </row>
    <row r="50" spans="1:8" ht="34.5" x14ac:dyDescent="0.25">
      <c r="A50" s="7" t="s">
        <v>49</v>
      </c>
      <c r="B50" s="1">
        <v>12</v>
      </c>
      <c r="C50" s="7" t="s">
        <v>72</v>
      </c>
      <c r="D50" s="7" t="s">
        <v>12</v>
      </c>
      <c r="E50" s="8" t="s">
        <v>73</v>
      </c>
      <c r="F50" s="9">
        <f>81.4*1.1</f>
        <v>89.54000000000002</v>
      </c>
      <c r="G50" s="10">
        <v>6</v>
      </c>
      <c r="H50" s="11">
        <f t="shared" si="1"/>
        <v>537.24</v>
      </c>
    </row>
    <row r="51" spans="1:8" ht="57" x14ac:dyDescent="0.25">
      <c r="A51" s="7" t="s">
        <v>49</v>
      </c>
      <c r="B51" s="1">
        <v>13</v>
      </c>
      <c r="C51" s="7" t="s">
        <v>74</v>
      </c>
      <c r="D51" s="7" t="s">
        <v>33</v>
      </c>
      <c r="E51" s="8" t="s">
        <v>75</v>
      </c>
      <c r="F51" s="9">
        <f>1.36*1.1</f>
        <v>1.4960000000000002</v>
      </c>
      <c r="G51" s="10">
        <v>15</v>
      </c>
      <c r="H51" s="11">
        <f t="shared" si="1"/>
        <v>22.5</v>
      </c>
    </row>
    <row r="52" spans="1:8" x14ac:dyDescent="0.25">
      <c r="E52" s="5" t="s">
        <v>16</v>
      </c>
      <c r="F52" s="5"/>
      <c r="G52" s="5"/>
      <c r="H52" s="12">
        <f>SUM(H39:H51)</f>
        <v>2085.9700000000003</v>
      </c>
    </row>
    <row r="54" spans="1:8" x14ac:dyDescent="0.25">
      <c r="C54" s="5" t="s">
        <v>4</v>
      </c>
      <c r="D54" s="6" t="s">
        <v>5</v>
      </c>
      <c r="E54" s="5" t="s">
        <v>6</v>
      </c>
    </row>
    <row r="55" spans="1:8" x14ac:dyDescent="0.25">
      <c r="C55" s="5" t="s">
        <v>7</v>
      </c>
      <c r="D55" s="6" t="s">
        <v>19</v>
      </c>
      <c r="E55" s="5" t="s">
        <v>76</v>
      </c>
    </row>
    <row r="56" spans="1:8" x14ac:dyDescent="0.25">
      <c r="C56" s="5" t="s">
        <v>18</v>
      </c>
      <c r="D56" s="6" t="s">
        <v>5</v>
      </c>
      <c r="E56" s="5" t="s">
        <v>77</v>
      </c>
    </row>
    <row r="58" spans="1:8" ht="158.25" x14ac:dyDescent="0.25">
      <c r="A58" s="7" t="s">
        <v>78</v>
      </c>
      <c r="B58" s="1">
        <v>1</v>
      </c>
      <c r="C58" s="7" t="s">
        <v>79</v>
      </c>
      <c r="D58" s="7" t="s">
        <v>12</v>
      </c>
      <c r="E58" s="8" t="s">
        <v>80</v>
      </c>
      <c r="F58" s="9">
        <f>231.9*1.1</f>
        <v>255.09000000000003</v>
      </c>
      <c r="G58" s="10">
        <v>1</v>
      </c>
      <c r="H58" s="11">
        <f>ROUND(ROUND(F58,2)*ROUND(G58,3),2)</f>
        <v>255.09</v>
      </c>
    </row>
    <row r="59" spans="1:8" x14ac:dyDescent="0.25">
      <c r="E59" s="5" t="s">
        <v>16</v>
      </c>
      <c r="F59" s="5"/>
      <c r="G59" s="5"/>
      <c r="H59" s="12">
        <f>SUM(H58:H58)</f>
        <v>255.09</v>
      </c>
    </row>
    <row r="61" spans="1:8" x14ac:dyDescent="0.25">
      <c r="C61" s="5" t="s">
        <v>4</v>
      </c>
      <c r="D61" s="6" t="s">
        <v>5</v>
      </c>
      <c r="E61" s="5" t="s">
        <v>6</v>
      </c>
    </row>
    <row r="62" spans="1:8" x14ac:dyDescent="0.25">
      <c r="C62" s="5" t="s">
        <v>7</v>
      </c>
      <c r="D62" s="6" t="s">
        <v>19</v>
      </c>
      <c r="E62" s="5" t="s">
        <v>76</v>
      </c>
    </row>
    <row r="63" spans="1:8" x14ac:dyDescent="0.25">
      <c r="C63" s="5" t="s">
        <v>18</v>
      </c>
      <c r="D63" s="6" t="s">
        <v>19</v>
      </c>
      <c r="E63" s="5" t="s">
        <v>20</v>
      </c>
    </row>
    <row r="64" spans="1:8" x14ac:dyDescent="0.25">
      <c r="C64" s="5" t="s">
        <v>21</v>
      </c>
      <c r="D64" s="6" t="s">
        <v>19</v>
      </c>
      <c r="E64" s="5" t="s">
        <v>81</v>
      </c>
    </row>
    <row r="66" spans="1:8" ht="90.75" x14ac:dyDescent="0.25">
      <c r="A66" s="7" t="s">
        <v>82</v>
      </c>
      <c r="B66" s="1">
        <v>1</v>
      </c>
      <c r="C66" s="7" t="s">
        <v>83</v>
      </c>
      <c r="D66" s="7" t="s">
        <v>12</v>
      </c>
      <c r="E66" s="8" t="s">
        <v>84</v>
      </c>
      <c r="F66" s="9">
        <f>7638.93*1.1</f>
        <v>8402.8230000000003</v>
      </c>
      <c r="G66" s="10">
        <v>1</v>
      </c>
      <c r="H66" s="11">
        <f t="shared" ref="H66:H73" si="2">ROUND(ROUND(F66,2)*ROUND(G66,3),2)</f>
        <v>8402.82</v>
      </c>
    </row>
    <row r="67" spans="1:8" ht="79.5" x14ac:dyDescent="0.25">
      <c r="A67" s="7" t="s">
        <v>82</v>
      </c>
      <c r="B67" s="1">
        <v>2</v>
      </c>
      <c r="C67" s="7" t="s">
        <v>85</v>
      </c>
      <c r="D67" s="7" t="s">
        <v>12</v>
      </c>
      <c r="E67" s="8" t="s">
        <v>86</v>
      </c>
      <c r="F67" s="9">
        <f>1529.4*1.1</f>
        <v>1682.3400000000001</v>
      </c>
      <c r="G67" s="10">
        <v>5</v>
      </c>
      <c r="H67" s="11">
        <f t="shared" si="2"/>
        <v>8411.7000000000007</v>
      </c>
    </row>
    <row r="68" spans="1:8" ht="79.5" x14ac:dyDescent="0.25">
      <c r="A68" s="7" t="s">
        <v>82</v>
      </c>
      <c r="B68" s="1">
        <v>3</v>
      </c>
      <c r="C68" s="7" t="s">
        <v>87</v>
      </c>
      <c r="D68" s="7" t="s">
        <v>12</v>
      </c>
      <c r="E68" s="8" t="s">
        <v>88</v>
      </c>
      <c r="F68" s="9">
        <f>1557.99*1.1</f>
        <v>1713.7890000000002</v>
      </c>
      <c r="G68" s="10">
        <v>4</v>
      </c>
      <c r="H68" s="11">
        <f t="shared" si="2"/>
        <v>6855.16</v>
      </c>
    </row>
    <row r="69" spans="1:8" ht="124.5" x14ac:dyDescent="0.25">
      <c r="A69" s="7" t="s">
        <v>82</v>
      </c>
      <c r="B69" s="1">
        <v>4</v>
      </c>
      <c r="C69" s="7" t="s">
        <v>89</v>
      </c>
      <c r="D69" s="7" t="s">
        <v>12</v>
      </c>
      <c r="E69" s="8" t="s">
        <v>90</v>
      </c>
      <c r="F69" s="9">
        <f>6610.82*1.1</f>
        <v>7271.902</v>
      </c>
      <c r="G69" s="10">
        <v>1</v>
      </c>
      <c r="H69" s="11">
        <f t="shared" si="2"/>
        <v>7271.9</v>
      </c>
    </row>
    <row r="70" spans="1:8" ht="68.25" x14ac:dyDescent="0.25">
      <c r="A70" s="7" t="s">
        <v>82</v>
      </c>
      <c r="B70" s="1">
        <v>5</v>
      </c>
      <c r="C70" s="7" t="s">
        <v>91</v>
      </c>
      <c r="D70" s="7" t="s">
        <v>12</v>
      </c>
      <c r="E70" s="8" t="s">
        <v>92</v>
      </c>
      <c r="F70" s="9">
        <f>1951.37*1.1</f>
        <v>2146.5070000000001</v>
      </c>
      <c r="G70" s="10">
        <v>1</v>
      </c>
      <c r="H70" s="11">
        <f t="shared" si="2"/>
        <v>2146.5100000000002</v>
      </c>
    </row>
    <row r="71" spans="1:8" ht="90.75" x14ac:dyDescent="0.25">
      <c r="A71" s="7" t="s">
        <v>82</v>
      </c>
      <c r="B71" s="1">
        <v>6</v>
      </c>
      <c r="C71" s="7" t="s">
        <v>93</v>
      </c>
      <c r="D71" s="7" t="s">
        <v>12</v>
      </c>
      <c r="E71" s="8" t="s">
        <v>94</v>
      </c>
      <c r="F71" s="9">
        <f>2647.69*1.1</f>
        <v>2912.4590000000003</v>
      </c>
      <c r="G71" s="10">
        <v>1</v>
      </c>
      <c r="H71" s="11">
        <f t="shared" si="2"/>
        <v>2912.46</v>
      </c>
    </row>
    <row r="72" spans="1:8" ht="57" x14ac:dyDescent="0.25">
      <c r="A72" s="7" t="s">
        <v>82</v>
      </c>
      <c r="B72" s="1">
        <v>7</v>
      </c>
      <c r="C72" s="7" t="s">
        <v>95</v>
      </c>
      <c r="D72" s="7" t="s">
        <v>12</v>
      </c>
      <c r="E72" s="8" t="s">
        <v>96</v>
      </c>
      <c r="F72" s="9">
        <f>378.39*1.1</f>
        <v>416.22900000000004</v>
      </c>
      <c r="G72" s="10">
        <v>1</v>
      </c>
      <c r="H72" s="11">
        <f t="shared" si="2"/>
        <v>416.23</v>
      </c>
    </row>
    <row r="73" spans="1:8" ht="57" x14ac:dyDescent="0.25">
      <c r="A73" s="7" t="s">
        <v>82</v>
      </c>
      <c r="B73" s="1">
        <v>8</v>
      </c>
      <c r="C73" s="7" t="s">
        <v>97</v>
      </c>
      <c r="D73" s="7" t="s">
        <v>98</v>
      </c>
      <c r="E73" s="8" t="s">
        <v>99</v>
      </c>
      <c r="F73" s="9">
        <f>1609.16*1.1</f>
        <v>1770.0760000000002</v>
      </c>
      <c r="G73" s="10">
        <v>1</v>
      </c>
      <c r="H73" s="11">
        <f t="shared" si="2"/>
        <v>1770.08</v>
      </c>
    </row>
    <row r="74" spans="1:8" x14ac:dyDescent="0.25">
      <c r="E74" s="5" t="s">
        <v>16</v>
      </c>
      <c r="F74" s="5"/>
      <c r="G74" s="5"/>
      <c r="H74" s="12">
        <f>SUM(H66:H73)</f>
        <v>38186.860000000008</v>
      </c>
    </row>
    <row r="76" spans="1:8" x14ac:dyDescent="0.25">
      <c r="C76" s="5" t="s">
        <v>4</v>
      </c>
      <c r="D76" s="6" t="s">
        <v>5</v>
      </c>
      <c r="E76" s="5" t="s">
        <v>6</v>
      </c>
    </row>
    <row r="77" spans="1:8" x14ac:dyDescent="0.25">
      <c r="C77" s="5" t="s">
        <v>7</v>
      </c>
      <c r="D77" s="6" t="s">
        <v>19</v>
      </c>
      <c r="E77" s="5" t="s">
        <v>76</v>
      </c>
    </row>
    <row r="78" spans="1:8" x14ac:dyDescent="0.25">
      <c r="C78" s="5" t="s">
        <v>18</v>
      </c>
      <c r="D78" s="6" t="s">
        <v>19</v>
      </c>
      <c r="E78" s="5" t="s">
        <v>20</v>
      </c>
    </row>
    <row r="79" spans="1:8" x14ac:dyDescent="0.25">
      <c r="C79" s="5" t="s">
        <v>21</v>
      </c>
      <c r="D79" s="6" t="s">
        <v>22</v>
      </c>
      <c r="E79" s="5" t="s">
        <v>23</v>
      </c>
    </row>
    <row r="81" spans="1:8" ht="68.25" x14ac:dyDescent="0.25">
      <c r="A81" s="7" t="s">
        <v>100</v>
      </c>
      <c r="B81" s="1">
        <v>1</v>
      </c>
      <c r="C81" s="7" t="s">
        <v>25</v>
      </c>
      <c r="D81" s="7" t="s">
        <v>26</v>
      </c>
      <c r="E81" s="8" t="s">
        <v>27</v>
      </c>
      <c r="F81" s="9">
        <f>23.85*1.1</f>
        <v>26.235000000000003</v>
      </c>
      <c r="G81" s="10">
        <v>62</v>
      </c>
      <c r="H81" s="11">
        <f t="shared" ref="H81:H90" si="3">ROUND(ROUND(F81,2)*ROUND(G81,3),2)</f>
        <v>1626.88</v>
      </c>
    </row>
    <row r="82" spans="1:8" ht="34.5" x14ac:dyDescent="0.25">
      <c r="A82" s="7" t="s">
        <v>100</v>
      </c>
      <c r="B82" s="1">
        <v>2</v>
      </c>
      <c r="C82" s="7" t="s">
        <v>101</v>
      </c>
      <c r="D82" s="7" t="s">
        <v>26</v>
      </c>
      <c r="E82" s="8" t="s">
        <v>102</v>
      </c>
      <c r="F82" s="9">
        <f>33.08*1.1</f>
        <v>36.387999999999998</v>
      </c>
      <c r="G82" s="10">
        <v>8</v>
      </c>
      <c r="H82" s="11">
        <f t="shared" si="3"/>
        <v>291.12</v>
      </c>
    </row>
    <row r="83" spans="1:8" ht="34.5" x14ac:dyDescent="0.25">
      <c r="A83" s="7" t="s">
        <v>100</v>
      </c>
      <c r="B83" s="1">
        <v>3</v>
      </c>
      <c r="C83" s="7" t="s">
        <v>103</v>
      </c>
      <c r="D83" s="7" t="s">
        <v>33</v>
      </c>
      <c r="E83" s="8" t="s">
        <v>104</v>
      </c>
      <c r="F83" s="9">
        <f>8.41*1.1</f>
        <v>9.2510000000000012</v>
      </c>
      <c r="G83" s="10">
        <v>7</v>
      </c>
      <c r="H83" s="11">
        <f t="shared" si="3"/>
        <v>64.75</v>
      </c>
    </row>
    <row r="84" spans="1:8" ht="57" x14ac:dyDescent="0.25">
      <c r="A84" s="7" t="s">
        <v>100</v>
      </c>
      <c r="B84" s="1">
        <v>4</v>
      </c>
      <c r="C84" s="7" t="s">
        <v>105</v>
      </c>
      <c r="D84" s="7" t="s">
        <v>12</v>
      </c>
      <c r="E84" s="8" t="s">
        <v>106</v>
      </c>
      <c r="F84" s="9">
        <f>39.83*1.1</f>
        <v>43.813000000000002</v>
      </c>
      <c r="G84" s="10">
        <v>7</v>
      </c>
      <c r="H84" s="11">
        <f t="shared" si="3"/>
        <v>306.67</v>
      </c>
    </row>
    <row r="85" spans="1:8" ht="68.25" x14ac:dyDescent="0.25">
      <c r="A85" s="7" t="s">
        <v>100</v>
      </c>
      <c r="B85" s="1">
        <v>5</v>
      </c>
      <c r="C85" s="7" t="s">
        <v>107</v>
      </c>
      <c r="D85" s="7" t="s">
        <v>12</v>
      </c>
      <c r="E85" s="8" t="s">
        <v>108</v>
      </c>
      <c r="F85" s="9">
        <f>51.86*1.1</f>
        <v>57.046000000000006</v>
      </c>
      <c r="G85" s="10">
        <v>7</v>
      </c>
      <c r="H85" s="11">
        <f t="shared" si="3"/>
        <v>399.35</v>
      </c>
    </row>
    <row r="86" spans="1:8" ht="34.5" x14ac:dyDescent="0.25">
      <c r="A86" s="7" t="s">
        <v>100</v>
      </c>
      <c r="B86" s="1">
        <v>6</v>
      </c>
      <c r="C86" s="7" t="s">
        <v>109</v>
      </c>
      <c r="D86" s="7" t="s">
        <v>33</v>
      </c>
      <c r="E86" s="8" t="s">
        <v>110</v>
      </c>
      <c r="F86" s="9">
        <f>6.6*1.1</f>
        <v>7.26</v>
      </c>
      <c r="G86" s="10">
        <v>7</v>
      </c>
      <c r="H86" s="11">
        <f t="shared" si="3"/>
        <v>50.82</v>
      </c>
    </row>
    <row r="87" spans="1:8" ht="79.5" x14ac:dyDescent="0.25">
      <c r="A87" s="7" t="s">
        <v>100</v>
      </c>
      <c r="B87" s="1">
        <v>7</v>
      </c>
      <c r="C87" s="7" t="s">
        <v>111</v>
      </c>
      <c r="D87" s="7" t="s">
        <v>12</v>
      </c>
      <c r="E87" s="8" t="s">
        <v>112</v>
      </c>
      <c r="F87" s="9">
        <f>80.9*1.1</f>
        <v>88.990000000000009</v>
      </c>
      <c r="G87" s="10">
        <v>3</v>
      </c>
      <c r="H87" s="11">
        <f t="shared" si="3"/>
        <v>266.97000000000003</v>
      </c>
    </row>
    <row r="88" spans="1:8" ht="68.25" x14ac:dyDescent="0.25">
      <c r="A88" s="7" t="s">
        <v>100</v>
      </c>
      <c r="B88" s="1">
        <v>8</v>
      </c>
      <c r="C88" s="7" t="s">
        <v>113</v>
      </c>
      <c r="D88" s="7" t="s">
        <v>12</v>
      </c>
      <c r="E88" s="8" t="s">
        <v>114</v>
      </c>
      <c r="F88" s="9">
        <f>41.95*1.1</f>
        <v>46.14500000000001</v>
      </c>
      <c r="G88" s="10">
        <v>2</v>
      </c>
      <c r="H88" s="11">
        <f t="shared" si="3"/>
        <v>92.3</v>
      </c>
    </row>
    <row r="89" spans="1:8" ht="34.5" x14ac:dyDescent="0.25">
      <c r="A89" s="7" t="s">
        <v>100</v>
      </c>
      <c r="B89" s="1">
        <v>9</v>
      </c>
      <c r="C89" s="7" t="s">
        <v>115</v>
      </c>
      <c r="D89" s="7" t="s">
        <v>33</v>
      </c>
      <c r="E89" s="8" t="s">
        <v>116</v>
      </c>
      <c r="F89" s="9">
        <f>49.74*1.1</f>
        <v>54.714000000000006</v>
      </c>
      <c r="G89" s="10">
        <v>15</v>
      </c>
      <c r="H89" s="11">
        <f t="shared" si="3"/>
        <v>820.65</v>
      </c>
    </row>
    <row r="90" spans="1:8" ht="23.25" x14ac:dyDescent="0.25">
      <c r="A90" s="7" t="s">
        <v>100</v>
      </c>
      <c r="B90" s="1">
        <v>10</v>
      </c>
      <c r="C90" s="7" t="s">
        <v>117</v>
      </c>
      <c r="D90" s="7" t="s">
        <v>12</v>
      </c>
      <c r="E90" s="8" t="s">
        <v>118</v>
      </c>
      <c r="F90" s="9">
        <f>21.65*1.1</f>
        <v>23.815000000000001</v>
      </c>
      <c r="G90" s="10">
        <v>2</v>
      </c>
      <c r="H90" s="11">
        <f t="shared" si="3"/>
        <v>47.64</v>
      </c>
    </row>
    <row r="91" spans="1:8" x14ac:dyDescent="0.25">
      <c r="E91" s="5" t="s">
        <v>16</v>
      </c>
      <c r="F91" s="5"/>
      <c r="G91" s="5"/>
      <c r="H91" s="12">
        <v>3966.86</v>
      </c>
    </row>
    <row r="93" spans="1:8" x14ac:dyDescent="0.25">
      <c r="C93" s="5" t="s">
        <v>4</v>
      </c>
      <c r="D93" s="6" t="s">
        <v>5</v>
      </c>
      <c r="E93" s="5" t="s">
        <v>6</v>
      </c>
    </row>
    <row r="94" spans="1:8" x14ac:dyDescent="0.25">
      <c r="C94" s="5" t="s">
        <v>7</v>
      </c>
      <c r="D94" s="6" t="s">
        <v>19</v>
      </c>
      <c r="E94" s="5" t="s">
        <v>76</v>
      </c>
    </row>
    <row r="95" spans="1:8" x14ac:dyDescent="0.25">
      <c r="C95" s="5" t="s">
        <v>18</v>
      </c>
      <c r="D95" s="6" t="s">
        <v>47</v>
      </c>
      <c r="E95" s="5" t="s">
        <v>48</v>
      </c>
    </row>
    <row r="96" spans="1:8" x14ac:dyDescent="0.25">
      <c r="C96" s="5" t="s">
        <v>21</v>
      </c>
      <c r="D96" s="6" t="s">
        <v>5</v>
      </c>
      <c r="E96" s="5" t="s">
        <v>119</v>
      </c>
    </row>
    <row r="98" spans="1:8" ht="169.5" x14ac:dyDescent="0.25">
      <c r="A98" s="7" t="s">
        <v>120</v>
      </c>
      <c r="B98" s="1">
        <v>1</v>
      </c>
      <c r="C98" s="7" t="s">
        <v>121</v>
      </c>
      <c r="D98" s="7" t="s">
        <v>12</v>
      </c>
      <c r="E98" s="8" t="s">
        <v>122</v>
      </c>
      <c r="F98" s="9">
        <f>2413.45*1.1</f>
        <v>2654.7950000000001</v>
      </c>
      <c r="G98" s="10">
        <v>1</v>
      </c>
      <c r="H98" s="11">
        <f>ROUND(ROUND(F98,2)*ROUND(G98,3),2)</f>
        <v>2654.8</v>
      </c>
    </row>
    <row r="99" spans="1:8" ht="68.25" x14ac:dyDescent="0.25">
      <c r="A99" s="7" t="s">
        <v>120</v>
      </c>
      <c r="B99" s="1">
        <v>2</v>
      </c>
      <c r="C99" s="7" t="s">
        <v>123</v>
      </c>
      <c r="D99" s="7" t="s">
        <v>12</v>
      </c>
      <c r="E99" s="8" t="s">
        <v>124</v>
      </c>
      <c r="F99" s="9">
        <f>188.92*1.1</f>
        <v>207.81200000000001</v>
      </c>
      <c r="G99" s="10">
        <v>1</v>
      </c>
      <c r="H99" s="11">
        <f>ROUND(ROUND(F99,2)*ROUND(G99,3),2)</f>
        <v>207.81</v>
      </c>
    </row>
    <row r="100" spans="1:8" ht="45.75" x14ac:dyDescent="0.25">
      <c r="A100" s="7" t="s">
        <v>120</v>
      </c>
      <c r="B100" s="1">
        <v>3</v>
      </c>
      <c r="C100" s="7" t="s">
        <v>125</v>
      </c>
      <c r="D100" s="7" t="s">
        <v>33</v>
      </c>
      <c r="E100" s="8" t="s">
        <v>126</v>
      </c>
      <c r="F100" s="9">
        <f>6.74*1.1</f>
        <v>7.4140000000000006</v>
      </c>
      <c r="G100" s="10">
        <v>50</v>
      </c>
      <c r="H100" s="11">
        <f>ROUND(ROUND(F100,2)*ROUND(G100,3),2)</f>
        <v>370.5</v>
      </c>
    </row>
    <row r="101" spans="1:8" ht="45.75" x14ac:dyDescent="0.25">
      <c r="A101" s="7" t="s">
        <v>120</v>
      </c>
      <c r="B101" s="1">
        <v>4</v>
      </c>
      <c r="C101" s="7" t="s">
        <v>127</v>
      </c>
      <c r="D101" s="7" t="s">
        <v>33</v>
      </c>
      <c r="E101" s="8" t="s">
        <v>128</v>
      </c>
      <c r="F101" s="9">
        <f>1.48*1.1</f>
        <v>1.6280000000000001</v>
      </c>
      <c r="G101" s="10">
        <v>50</v>
      </c>
      <c r="H101" s="11">
        <f>ROUND(ROUND(F101,2)*ROUND(G101,3),2)</f>
        <v>81.5</v>
      </c>
    </row>
    <row r="102" spans="1:8" x14ac:dyDescent="0.25">
      <c r="E102" s="5" t="s">
        <v>16</v>
      </c>
      <c r="F102" s="5"/>
      <c r="G102" s="5"/>
      <c r="H102" s="12">
        <v>3314.7</v>
      </c>
    </row>
    <row r="104" spans="1:8" x14ac:dyDescent="0.25">
      <c r="C104" s="5" t="s">
        <v>4</v>
      </c>
      <c r="D104" s="6" t="s">
        <v>5</v>
      </c>
      <c r="E104" s="5" t="s">
        <v>6</v>
      </c>
    </row>
    <row r="105" spans="1:8" x14ac:dyDescent="0.25">
      <c r="C105" s="5" t="s">
        <v>7</v>
      </c>
      <c r="D105" s="6" t="s">
        <v>19</v>
      </c>
      <c r="E105" s="5" t="s">
        <v>76</v>
      </c>
    </row>
    <row r="106" spans="1:8" x14ac:dyDescent="0.25">
      <c r="C106" s="5" t="s">
        <v>18</v>
      </c>
      <c r="D106" s="6" t="s">
        <v>47</v>
      </c>
      <c r="E106" s="5" t="s">
        <v>48</v>
      </c>
    </row>
    <row r="107" spans="1:8" x14ac:dyDescent="0.25">
      <c r="C107" s="5" t="s">
        <v>21</v>
      </c>
      <c r="D107" s="6" t="s">
        <v>19</v>
      </c>
      <c r="E107" s="5" t="s">
        <v>129</v>
      </c>
    </row>
    <row r="109" spans="1:8" ht="34.5" x14ac:dyDescent="0.25">
      <c r="A109" s="7" t="s">
        <v>130</v>
      </c>
      <c r="B109" s="1">
        <v>1</v>
      </c>
      <c r="C109" s="7" t="s">
        <v>131</v>
      </c>
      <c r="D109" s="7" t="s">
        <v>12</v>
      </c>
      <c r="E109" s="8" t="s">
        <v>132</v>
      </c>
      <c r="F109" s="9">
        <f>83.22*1.1</f>
        <v>91.542000000000002</v>
      </c>
      <c r="G109" s="10">
        <v>2</v>
      </c>
      <c r="H109" s="11">
        <f>ROUND(ROUND(F109,2)*ROUND(G109,3),2)</f>
        <v>183.08</v>
      </c>
    </row>
    <row r="110" spans="1:8" ht="34.5" x14ac:dyDescent="0.25">
      <c r="A110" s="7" t="s">
        <v>130</v>
      </c>
      <c r="B110" s="1">
        <v>2</v>
      </c>
      <c r="C110" s="7" t="s">
        <v>72</v>
      </c>
      <c r="D110" s="7" t="s">
        <v>12</v>
      </c>
      <c r="E110" s="8" t="s">
        <v>73</v>
      </c>
      <c r="F110" s="9">
        <f>81.4*1.1</f>
        <v>89.54000000000002</v>
      </c>
      <c r="G110" s="10">
        <v>34</v>
      </c>
      <c r="H110" s="11">
        <f>ROUND(ROUND(F110,2)*ROUND(G110,3),2)</f>
        <v>3044.36</v>
      </c>
    </row>
    <row r="111" spans="1:8" ht="23.25" x14ac:dyDescent="0.25">
      <c r="A111" s="7" t="s">
        <v>130</v>
      </c>
      <c r="B111" s="1">
        <v>3</v>
      </c>
      <c r="C111" s="7" t="s">
        <v>133</v>
      </c>
      <c r="D111" s="7" t="s">
        <v>12</v>
      </c>
      <c r="E111" s="8" t="s">
        <v>134</v>
      </c>
      <c r="F111" s="9">
        <f>45.74*1.1</f>
        <v>50.314000000000007</v>
      </c>
      <c r="G111" s="10">
        <v>1</v>
      </c>
      <c r="H111" s="11">
        <f>ROUND(ROUND(F111,2)*ROUND(G111,3),2)</f>
        <v>50.31</v>
      </c>
    </row>
    <row r="112" spans="1:8" ht="23.25" x14ac:dyDescent="0.25">
      <c r="A112" s="7" t="s">
        <v>130</v>
      </c>
      <c r="B112" s="1">
        <v>4</v>
      </c>
      <c r="C112" s="7" t="s">
        <v>62</v>
      </c>
      <c r="D112" s="7" t="s">
        <v>12</v>
      </c>
      <c r="E112" s="8" t="s">
        <v>63</v>
      </c>
      <c r="F112" s="9">
        <f>6.74*1.1</f>
        <v>7.4140000000000006</v>
      </c>
      <c r="G112" s="10">
        <v>8</v>
      </c>
      <c r="H112" s="11">
        <f>ROUND(ROUND(F112,2)*ROUND(G112,3),2)</f>
        <v>59.28</v>
      </c>
    </row>
    <row r="113" spans="1:8" ht="57" x14ac:dyDescent="0.25">
      <c r="A113" s="7" t="s">
        <v>130</v>
      </c>
      <c r="B113" s="1">
        <v>5</v>
      </c>
      <c r="C113" s="7" t="s">
        <v>135</v>
      </c>
      <c r="D113" s="7" t="s">
        <v>12</v>
      </c>
      <c r="E113" s="8" t="s">
        <v>136</v>
      </c>
      <c r="F113" s="9">
        <f>66.61*1.1</f>
        <v>73.271000000000001</v>
      </c>
      <c r="G113" s="10">
        <v>12</v>
      </c>
      <c r="H113" s="11">
        <f>ROUND(ROUND(F113,2)*ROUND(G113,3),2)</f>
        <v>879.24</v>
      </c>
    </row>
    <row r="114" spans="1:8" x14ac:dyDescent="0.25">
      <c r="E114" s="5" t="s">
        <v>16</v>
      </c>
      <c r="F114" s="5"/>
      <c r="G114" s="5"/>
      <c r="H114" s="12">
        <v>4216.32</v>
      </c>
    </row>
    <row r="116" spans="1:8" x14ac:dyDescent="0.25">
      <c r="C116" s="5" t="s">
        <v>4</v>
      </c>
      <c r="D116" s="6" t="s">
        <v>5</v>
      </c>
      <c r="E116" s="5" t="s">
        <v>6</v>
      </c>
    </row>
    <row r="117" spans="1:8" x14ac:dyDescent="0.25">
      <c r="C117" s="5" t="s">
        <v>7</v>
      </c>
      <c r="D117" s="6" t="s">
        <v>19</v>
      </c>
      <c r="E117" s="5" t="s">
        <v>76</v>
      </c>
    </row>
    <row r="118" spans="1:8" x14ac:dyDescent="0.25">
      <c r="C118" s="5" t="s">
        <v>18</v>
      </c>
      <c r="D118" s="6" t="s">
        <v>47</v>
      </c>
      <c r="E118" s="5" t="s">
        <v>48</v>
      </c>
    </row>
    <row r="119" spans="1:8" x14ac:dyDescent="0.25">
      <c r="C119" s="5" t="s">
        <v>21</v>
      </c>
      <c r="D119" s="6" t="s">
        <v>47</v>
      </c>
      <c r="E119" s="5" t="s">
        <v>137</v>
      </c>
    </row>
    <row r="121" spans="1:8" ht="34.5" x14ac:dyDescent="0.25">
      <c r="A121" s="7" t="s">
        <v>138</v>
      </c>
      <c r="B121" s="1">
        <v>1</v>
      </c>
      <c r="C121" s="7" t="s">
        <v>139</v>
      </c>
      <c r="D121" s="7" t="s">
        <v>33</v>
      </c>
      <c r="E121" s="8" t="s">
        <v>140</v>
      </c>
      <c r="F121" s="9">
        <f>251.57*1.1</f>
        <v>276.72700000000003</v>
      </c>
      <c r="G121" s="10">
        <v>5</v>
      </c>
      <c r="H121" s="11">
        <f t="shared" ref="H121:H135" si="4">ROUND(ROUND(F121,2)*ROUND(G121,3),2)</f>
        <v>1383.65</v>
      </c>
    </row>
    <row r="122" spans="1:8" ht="34.5" x14ac:dyDescent="0.25">
      <c r="A122" s="7" t="s">
        <v>138</v>
      </c>
      <c r="B122" s="1">
        <v>2</v>
      </c>
      <c r="C122" s="7" t="s">
        <v>50</v>
      </c>
      <c r="D122" s="7" t="s">
        <v>33</v>
      </c>
      <c r="E122" s="8" t="s">
        <v>51</v>
      </c>
      <c r="F122" s="9">
        <f>18.76*1.1</f>
        <v>20.636000000000003</v>
      </c>
      <c r="G122" s="10">
        <v>15</v>
      </c>
      <c r="H122" s="11">
        <f t="shared" si="4"/>
        <v>309.60000000000002</v>
      </c>
    </row>
    <row r="123" spans="1:8" ht="34.5" x14ac:dyDescent="0.25">
      <c r="A123" s="7" t="s">
        <v>138</v>
      </c>
      <c r="B123" s="1">
        <v>3</v>
      </c>
      <c r="C123" s="7" t="s">
        <v>141</v>
      </c>
      <c r="D123" s="7" t="s">
        <v>33</v>
      </c>
      <c r="E123" s="8" t="s">
        <v>142</v>
      </c>
      <c r="F123" s="9">
        <f>21.58*1.1</f>
        <v>23.738</v>
      </c>
      <c r="G123" s="10">
        <v>24</v>
      </c>
      <c r="H123" s="11">
        <f t="shared" si="4"/>
        <v>569.76</v>
      </c>
    </row>
    <row r="124" spans="1:8" ht="23.25" x14ac:dyDescent="0.25">
      <c r="A124" s="7" t="s">
        <v>138</v>
      </c>
      <c r="B124" s="1">
        <v>4</v>
      </c>
      <c r="C124" s="7" t="s">
        <v>52</v>
      </c>
      <c r="D124" s="7" t="s">
        <v>33</v>
      </c>
      <c r="E124" s="8" t="s">
        <v>53</v>
      </c>
      <c r="F124" s="9">
        <f>3.87*1.1</f>
        <v>4.2570000000000006</v>
      </c>
      <c r="G124" s="10">
        <v>40</v>
      </c>
      <c r="H124" s="11">
        <f t="shared" si="4"/>
        <v>170.4</v>
      </c>
    </row>
    <row r="125" spans="1:8" ht="57" x14ac:dyDescent="0.25">
      <c r="A125" s="7" t="s">
        <v>138</v>
      </c>
      <c r="B125" s="1">
        <v>5</v>
      </c>
      <c r="C125" s="7" t="s">
        <v>58</v>
      </c>
      <c r="D125" s="7" t="s">
        <v>33</v>
      </c>
      <c r="E125" s="8" t="s">
        <v>59</v>
      </c>
      <c r="F125" s="9">
        <f>35.1*1.1</f>
        <v>38.610000000000007</v>
      </c>
      <c r="G125" s="10">
        <v>38</v>
      </c>
      <c r="H125" s="11">
        <f t="shared" si="4"/>
        <v>1467.18</v>
      </c>
    </row>
    <row r="126" spans="1:8" ht="45.75" x14ac:dyDescent="0.25">
      <c r="A126" s="7" t="s">
        <v>138</v>
      </c>
      <c r="B126" s="1">
        <v>6</v>
      </c>
      <c r="C126" s="7" t="s">
        <v>60</v>
      </c>
      <c r="D126" s="7" t="s">
        <v>12</v>
      </c>
      <c r="E126" s="8" t="s">
        <v>61</v>
      </c>
      <c r="F126" s="9">
        <f>50.53*1.1</f>
        <v>55.583000000000006</v>
      </c>
      <c r="G126" s="10">
        <v>10</v>
      </c>
      <c r="H126" s="11">
        <f t="shared" si="4"/>
        <v>555.79999999999995</v>
      </c>
    </row>
    <row r="127" spans="1:8" ht="45.75" x14ac:dyDescent="0.25">
      <c r="A127" s="7" t="s">
        <v>138</v>
      </c>
      <c r="B127" s="1">
        <v>7</v>
      </c>
      <c r="C127" s="7" t="s">
        <v>143</v>
      </c>
      <c r="D127" s="7" t="s">
        <v>12</v>
      </c>
      <c r="E127" s="8" t="s">
        <v>144</v>
      </c>
      <c r="F127" s="9">
        <f>62.3*1.1</f>
        <v>68.53</v>
      </c>
      <c r="G127" s="10">
        <v>6</v>
      </c>
      <c r="H127" s="11">
        <f t="shared" si="4"/>
        <v>411.18</v>
      </c>
    </row>
    <row r="128" spans="1:8" ht="45.75" x14ac:dyDescent="0.25">
      <c r="A128" s="7" t="s">
        <v>138</v>
      </c>
      <c r="B128" s="1">
        <v>8</v>
      </c>
      <c r="C128" s="7" t="s">
        <v>56</v>
      </c>
      <c r="D128" s="7" t="s">
        <v>33</v>
      </c>
      <c r="E128" s="8" t="s">
        <v>57</v>
      </c>
      <c r="F128" s="9">
        <f>1.3*1.1</f>
        <v>1.4300000000000002</v>
      </c>
      <c r="G128" s="10">
        <v>340</v>
      </c>
      <c r="H128" s="11">
        <f t="shared" si="4"/>
        <v>486.2</v>
      </c>
    </row>
    <row r="129" spans="1:8" ht="45.75" x14ac:dyDescent="0.25">
      <c r="A129" s="7" t="s">
        <v>138</v>
      </c>
      <c r="B129" s="1">
        <v>9</v>
      </c>
      <c r="C129" s="7" t="s">
        <v>145</v>
      </c>
      <c r="D129" s="7" t="s">
        <v>33</v>
      </c>
      <c r="E129" s="8" t="s">
        <v>146</v>
      </c>
      <c r="F129" s="9">
        <f>0.86*1.1</f>
        <v>0.94600000000000006</v>
      </c>
      <c r="G129" s="10">
        <v>150</v>
      </c>
      <c r="H129" s="11">
        <f t="shared" si="4"/>
        <v>142.5</v>
      </c>
    </row>
    <row r="130" spans="1:8" ht="23.25" x14ac:dyDescent="0.25">
      <c r="A130" s="7" t="s">
        <v>138</v>
      </c>
      <c r="B130" s="1">
        <v>10</v>
      </c>
      <c r="C130" s="7" t="s">
        <v>147</v>
      </c>
      <c r="D130" s="7" t="s">
        <v>12</v>
      </c>
      <c r="E130" s="8" t="s">
        <v>148</v>
      </c>
      <c r="F130" s="9">
        <f>11.1*1.1</f>
        <v>12.21</v>
      </c>
      <c r="G130" s="10">
        <v>35</v>
      </c>
      <c r="H130" s="11">
        <f t="shared" si="4"/>
        <v>427.35</v>
      </c>
    </row>
    <row r="131" spans="1:8" ht="45.75" x14ac:dyDescent="0.25">
      <c r="A131" s="7" t="s">
        <v>138</v>
      </c>
      <c r="B131" s="1">
        <v>11</v>
      </c>
      <c r="C131" s="7" t="s">
        <v>68</v>
      </c>
      <c r="D131" s="7" t="s">
        <v>33</v>
      </c>
      <c r="E131" s="8" t="s">
        <v>69</v>
      </c>
      <c r="F131" s="9">
        <f>1.63*1.1</f>
        <v>1.7929999999999999</v>
      </c>
      <c r="G131" s="10">
        <v>487</v>
      </c>
      <c r="H131" s="11">
        <f t="shared" si="4"/>
        <v>871.73</v>
      </c>
    </row>
    <row r="132" spans="1:8" ht="45.75" x14ac:dyDescent="0.25">
      <c r="A132" s="7" t="s">
        <v>138</v>
      </c>
      <c r="B132" s="1">
        <v>12</v>
      </c>
      <c r="C132" s="7" t="s">
        <v>149</v>
      </c>
      <c r="D132" s="7" t="s">
        <v>33</v>
      </c>
      <c r="E132" s="8" t="s">
        <v>150</v>
      </c>
      <c r="F132" s="9">
        <f>2.27*1.1</f>
        <v>2.4970000000000003</v>
      </c>
      <c r="G132" s="10">
        <v>50</v>
      </c>
      <c r="H132" s="11">
        <f t="shared" si="4"/>
        <v>125</v>
      </c>
    </row>
    <row r="133" spans="1:8" ht="34.5" x14ac:dyDescent="0.25">
      <c r="A133" s="7" t="s">
        <v>138</v>
      </c>
      <c r="B133" s="1">
        <v>13</v>
      </c>
      <c r="C133" s="7" t="s">
        <v>151</v>
      </c>
      <c r="D133" s="7" t="s">
        <v>33</v>
      </c>
      <c r="E133" s="8" t="s">
        <v>152</v>
      </c>
      <c r="F133" s="9">
        <f>3.64*1.1</f>
        <v>4.0040000000000004</v>
      </c>
      <c r="G133" s="10">
        <v>35</v>
      </c>
      <c r="H133" s="11">
        <f t="shared" si="4"/>
        <v>140</v>
      </c>
    </row>
    <row r="134" spans="1:8" ht="57" x14ac:dyDescent="0.25">
      <c r="A134" s="7" t="s">
        <v>138</v>
      </c>
      <c r="B134" s="1">
        <v>14</v>
      </c>
      <c r="C134" s="7" t="s">
        <v>74</v>
      </c>
      <c r="D134" s="7" t="s">
        <v>33</v>
      </c>
      <c r="E134" s="8" t="s">
        <v>75</v>
      </c>
      <c r="F134" s="9">
        <f>1.36*1.1</f>
        <v>1.4960000000000002</v>
      </c>
      <c r="G134" s="10">
        <v>200</v>
      </c>
      <c r="H134" s="11">
        <f t="shared" si="4"/>
        <v>300</v>
      </c>
    </row>
    <row r="135" spans="1:8" ht="23.25" x14ac:dyDescent="0.25">
      <c r="A135" s="7" t="s">
        <v>138</v>
      </c>
      <c r="B135" s="1">
        <v>15</v>
      </c>
      <c r="C135" s="7" t="s">
        <v>153</v>
      </c>
      <c r="D135" s="7" t="s">
        <v>12</v>
      </c>
      <c r="E135" s="8" t="s">
        <v>154</v>
      </c>
      <c r="F135" s="9">
        <f>11.55*1.1</f>
        <v>12.705000000000002</v>
      </c>
      <c r="G135" s="10">
        <v>35</v>
      </c>
      <c r="H135" s="11">
        <f t="shared" si="4"/>
        <v>444.85</v>
      </c>
    </row>
    <row r="136" spans="1:8" x14ac:dyDescent="0.25">
      <c r="E136" s="5" t="s">
        <v>16</v>
      </c>
      <c r="F136" s="5"/>
      <c r="G136" s="5"/>
      <c r="H136" s="12">
        <v>7804.86</v>
      </c>
    </row>
    <row r="138" spans="1:8" x14ac:dyDescent="0.25">
      <c r="C138" s="5" t="s">
        <v>4</v>
      </c>
      <c r="D138" s="6" t="s">
        <v>5</v>
      </c>
      <c r="E138" s="5" t="s">
        <v>6</v>
      </c>
    </row>
    <row r="139" spans="1:8" x14ac:dyDescent="0.25">
      <c r="C139" s="5" t="s">
        <v>7</v>
      </c>
      <c r="D139" s="6" t="s">
        <v>19</v>
      </c>
      <c r="E139" s="5" t="s">
        <v>76</v>
      </c>
    </row>
    <row r="140" spans="1:8" x14ac:dyDescent="0.25">
      <c r="C140" s="5" t="s">
        <v>18</v>
      </c>
      <c r="D140" s="6" t="s">
        <v>155</v>
      </c>
      <c r="E140" s="5" t="s">
        <v>156</v>
      </c>
    </row>
    <row r="141" spans="1:8" x14ac:dyDescent="0.25">
      <c r="C141" s="5" t="s">
        <v>21</v>
      </c>
      <c r="D141" s="6" t="s">
        <v>5</v>
      </c>
      <c r="E141" s="5" t="s">
        <v>157</v>
      </c>
    </row>
    <row r="143" spans="1:8" ht="45.75" x14ac:dyDescent="0.25">
      <c r="A143" s="7" t="s">
        <v>158</v>
      </c>
      <c r="B143" s="1">
        <v>1</v>
      </c>
      <c r="C143" s="7" t="s">
        <v>159</v>
      </c>
      <c r="D143" s="7" t="s">
        <v>12</v>
      </c>
      <c r="E143" s="8" t="s">
        <v>160</v>
      </c>
      <c r="F143" s="9">
        <f>51.7*1.1</f>
        <v>56.870000000000005</v>
      </c>
      <c r="G143" s="10">
        <v>1</v>
      </c>
      <c r="H143" s="11">
        <f>ROUND(ROUND(F143,2)*ROUND(G143,3),2)</f>
        <v>56.87</v>
      </c>
    </row>
    <row r="144" spans="1:8" ht="34.5" x14ac:dyDescent="0.25">
      <c r="A144" s="7" t="s">
        <v>158</v>
      </c>
      <c r="B144" s="1">
        <v>2</v>
      </c>
      <c r="C144" s="7" t="s">
        <v>161</v>
      </c>
      <c r="D144" s="7" t="s">
        <v>33</v>
      </c>
      <c r="E144" s="8" t="s">
        <v>162</v>
      </c>
      <c r="F144" s="9">
        <f>6.97*1.1</f>
        <v>7.6670000000000007</v>
      </c>
      <c r="G144" s="10">
        <v>10</v>
      </c>
      <c r="H144" s="11">
        <f>ROUND(ROUND(F144,2)*ROUND(G144,3),2)</f>
        <v>76.7</v>
      </c>
    </row>
    <row r="145" spans="1:8" x14ac:dyDescent="0.25">
      <c r="E145" s="5" t="s">
        <v>16</v>
      </c>
      <c r="F145" s="5"/>
      <c r="G145" s="5"/>
      <c r="H145" s="12">
        <v>133.54</v>
      </c>
    </row>
    <row r="147" spans="1:8" x14ac:dyDescent="0.25">
      <c r="C147" s="5" t="s">
        <v>4</v>
      </c>
      <c r="D147" s="6" t="s">
        <v>5</v>
      </c>
      <c r="E147" s="5" t="s">
        <v>6</v>
      </c>
    </row>
    <row r="148" spans="1:8" x14ac:dyDescent="0.25">
      <c r="C148" s="5" t="s">
        <v>7</v>
      </c>
      <c r="D148" s="6" t="s">
        <v>19</v>
      </c>
      <c r="E148" s="5" t="s">
        <v>76</v>
      </c>
    </row>
    <row r="149" spans="1:8" x14ac:dyDescent="0.25">
      <c r="C149" s="5" t="s">
        <v>18</v>
      </c>
      <c r="D149" s="6" t="s">
        <v>163</v>
      </c>
      <c r="E149" s="5" t="s">
        <v>164</v>
      </c>
    </row>
    <row r="151" spans="1:8" ht="34.5" x14ac:dyDescent="0.25">
      <c r="A151" s="7" t="s">
        <v>165</v>
      </c>
      <c r="B151" s="1">
        <v>1</v>
      </c>
      <c r="C151" s="7" t="s">
        <v>166</v>
      </c>
      <c r="D151" s="7" t="s">
        <v>33</v>
      </c>
      <c r="E151" s="8" t="s">
        <v>167</v>
      </c>
      <c r="F151" s="9">
        <f>11.8*1.1</f>
        <v>12.980000000000002</v>
      </c>
      <c r="G151" s="10">
        <v>24</v>
      </c>
      <c r="H151" s="11">
        <f>ROUND(ROUND(F151,2)*ROUND(G151,3),2)</f>
        <v>311.52</v>
      </c>
    </row>
    <row r="152" spans="1:8" ht="34.5" x14ac:dyDescent="0.25">
      <c r="A152" s="7" t="s">
        <v>165</v>
      </c>
      <c r="B152" s="1">
        <v>2</v>
      </c>
      <c r="C152" s="7" t="s">
        <v>168</v>
      </c>
      <c r="D152" s="7" t="s">
        <v>12</v>
      </c>
      <c r="E152" s="8" t="s">
        <v>169</v>
      </c>
      <c r="F152" s="9">
        <f>16.31*1.1</f>
        <v>17.940999999999999</v>
      </c>
      <c r="G152" s="10">
        <v>2</v>
      </c>
      <c r="H152" s="11">
        <f>ROUND(ROUND(F152,2)*ROUND(G152,3),2)</f>
        <v>35.880000000000003</v>
      </c>
    </row>
    <row r="153" spans="1:8" x14ac:dyDescent="0.25">
      <c r="E153" s="17" t="s">
        <v>16</v>
      </c>
      <c r="F153" s="5"/>
      <c r="G153" s="5"/>
      <c r="H153" s="12">
        <f>SUM(H151:H152)</f>
        <v>347.4</v>
      </c>
    </row>
    <row r="155" spans="1:8" x14ac:dyDescent="0.25">
      <c r="C155" s="5" t="s">
        <v>4</v>
      </c>
      <c r="D155" s="6" t="s">
        <v>5</v>
      </c>
      <c r="E155" s="5" t="s">
        <v>6</v>
      </c>
    </row>
    <row r="156" spans="1:8" x14ac:dyDescent="0.25">
      <c r="C156" s="5" t="s">
        <v>7</v>
      </c>
      <c r="D156" s="6" t="s">
        <v>47</v>
      </c>
      <c r="E156" s="5" t="s">
        <v>170</v>
      </c>
    </row>
    <row r="157" spans="1:8" x14ac:dyDescent="0.25">
      <c r="C157" s="5" t="s">
        <v>18</v>
      </c>
      <c r="D157" s="6" t="s">
        <v>5</v>
      </c>
      <c r="E157" s="5" t="s">
        <v>77</v>
      </c>
    </row>
    <row r="159" spans="1:8" ht="124.5" x14ac:dyDescent="0.25">
      <c r="A159" s="7" t="s">
        <v>171</v>
      </c>
      <c r="B159" s="1">
        <v>1</v>
      </c>
      <c r="C159" s="7" t="s">
        <v>172</v>
      </c>
      <c r="D159" s="7" t="s">
        <v>12</v>
      </c>
      <c r="E159" s="8" t="s">
        <v>173</v>
      </c>
      <c r="F159" s="9">
        <f>284.42*1.1</f>
        <v>312.86200000000002</v>
      </c>
      <c r="G159" s="10">
        <v>1</v>
      </c>
      <c r="H159" s="11">
        <f>ROUND(ROUND(F159,2)*ROUND(G159,3),2)</f>
        <v>312.86</v>
      </c>
    </row>
    <row r="160" spans="1:8" x14ac:dyDescent="0.25">
      <c r="E160" s="5" t="s">
        <v>16</v>
      </c>
      <c r="F160" s="5"/>
      <c r="G160" s="5"/>
      <c r="H160" s="12">
        <f>SUM(H159:H159)</f>
        <v>312.86</v>
      </c>
    </row>
    <row r="162" spans="1:8" x14ac:dyDescent="0.25">
      <c r="C162" s="5" t="s">
        <v>4</v>
      </c>
      <c r="D162" s="6" t="s">
        <v>5</v>
      </c>
      <c r="E162" s="5" t="s">
        <v>6</v>
      </c>
    </row>
    <row r="163" spans="1:8" x14ac:dyDescent="0.25">
      <c r="C163" s="5" t="s">
        <v>7</v>
      </c>
      <c r="D163" s="6" t="s">
        <v>47</v>
      </c>
      <c r="E163" s="5" t="s">
        <v>170</v>
      </c>
    </row>
    <row r="164" spans="1:8" x14ac:dyDescent="0.25">
      <c r="C164" s="5" t="s">
        <v>18</v>
      </c>
      <c r="D164" s="6" t="s">
        <v>19</v>
      </c>
      <c r="E164" s="5" t="s">
        <v>20</v>
      </c>
    </row>
    <row r="165" spans="1:8" x14ac:dyDescent="0.25">
      <c r="C165" s="5" t="s">
        <v>21</v>
      </c>
      <c r="D165" s="6" t="s">
        <v>22</v>
      </c>
      <c r="E165" s="5" t="s">
        <v>23</v>
      </c>
    </row>
    <row r="167" spans="1:8" ht="68.25" x14ac:dyDescent="0.25">
      <c r="A167" s="7" t="s">
        <v>174</v>
      </c>
      <c r="B167" s="1">
        <v>1</v>
      </c>
      <c r="C167" s="7" t="s">
        <v>25</v>
      </c>
      <c r="D167" s="7" t="s">
        <v>26</v>
      </c>
      <c r="E167" s="8" t="s">
        <v>27</v>
      </c>
      <c r="F167" s="9">
        <f>23.85*1.1</f>
        <v>26.235000000000003</v>
      </c>
      <c r="G167" s="10">
        <v>21.4</v>
      </c>
      <c r="H167" s="11">
        <f>ROUND(ROUND(F167,2)*ROUND(G167,3),2)</f>
        <v>561.54</v>
      </c>
    </row>
    <row r="168" spans="1:8" ht="23.25" x14ac:dyDescent="0.25">
      <c r="A168" s="7" t="s">
        <v>174</v>
      </c>
      <c r="B168" s="1">
        <v>2</v>
      </c>
      <c r="C168" s="7" t="s">
        <v>175</v>
      </c>
      <c r="D168" s="7" t="s">
        <v>176</v>
      </c>
      <c r="E168" s="8" t="s">
        <v>177</v>
      </c>
      <c r="F168" s="9">
        <f>40.41*1.1</f>
        <v>44.451000000000001</v>
      </c>
      <c r="G168" s="10">
        <v>6</v>
      </c>
      <c r="H168" s="11">
        <f>ROUND(ROUND(F168,2)*ROUND(G168,3),2)</f>
        <v>266.7</v>
      </c>
    </row>
    <row r="169" spans="1:8" ht="34.5" x14ac:dyDescent="0.25">
      <c r="A169" s="7" t="s">
        <v>174</v>
      </c>
      <c r="B169" s="1">
        <v>3</v>
      </c>
      <c r="C169" s="7" t="s">
        <v>35</v>
      </c>
      <c r="D169" s="7" t="s">
        <v>33</v>
      </c>
      <c r="E169" s="8" t="s">
        <v>36</v>
      </c>
      <c r="F169" s="9">
        <f>11.89*1.1</f>
        <v>13.079000000000002</v>
      </c>
      <c r="G169" s="10">
        <v>6</v>
      </c>
      <c r="H169" s="11">
        <f>ROUND(ROUND(F169,2)*ROUND(G169,3),2)</f>
        <v>78.48</v>
      </c>
    </row>
    <row r="170" spans="1:8" x14ac:dyDescent="0.25">
      <c r="E170" s="5" t="s">
        <v>16</v>
      </c>
      <c r="F170" s="5"/>
      <c r="G170" s="5"/>
      <c r="H170" s="12">
        <v>906.6</v>
      </c>
    </row>
    <row r="172" spans="1:8" x14ac:dyDescent="0.25">
      <c r="C172" s="5" t="s">
        <v>4</v>
      </c>
      <c r="D172" s="6" t="s">
        <v>5</v>
      </c>
      <c r="E172" s="5" t="s">
        <v>6</v>
      </c>
    </row>
    <row r="173" spans="1:8" x14ac:dyDescent="0.25">
      <c r="C173" s="5" t="s">
        <v>7</v>
      </c>
      <c r="D173" s="6" t="s">
        <v>47</v>
      </c>
      <c r="E173" s="5" t="s">
        <v>170</v>
      </c>
    </row>
    <row r="174" spans="1:8" x14ac:dyDescent="0.25">
      <c r="C174" s="5" t="s">
        <v>18</v>
      </c>
      <c r="D174" s="6" t="s">
        <v>47</v>
      </c>
      <c r="E174" s="5" t="s">
        <v>48</v>
      </c>
    </row>
    <row r="176" spans="1:8" ht="57" x14ac:dyDescent="0.25">
      <c r="A176" s="7" t="s">
        <v>178</v>
      </c>
      <c r="B176" s="1">
        <v>1</v>
      </c>
      <c r="C176" s="7" t="s">
        <v>179</v>
      </c>
      <c r="D176" s="7" t="s">
        <v>12</v>
      </c>
      <c r="E176" s="8" t="s">
        <v>180</v>
      </c>
      <c r="F176" s="9">
        <f>45.74*1.1</f>
        <v>50.314000000000007</v>
      </c>
      <c r="G176" s="10">
        <v>6</v>
      </c>
      <c r="H176" s="11">
        <f t="shared" ref="H176:H183" si="5">ROUND(ROUND(F176,2)*ROUND(G176,3),2)</f>
        <v>301.86</v>
      </c>
    </row>
    <row r="177" spans="1:8" ht="23.25" x14ac:dyDescent="0.25">
      <c r="A177" s="7" t="s">
        <v>178</v>
      </c>
      <c r="B177" s="1">
        <v>2</v>
      </c>
      <c r="C177" s="7" t="s">
        <v>181</v>
      </c>
      <c r="D177" s="7" t="s">
        <v>12</v>
      </c>
      <c r="E177" s="8" t="s">
        <v>182</v>
      </c>
      <c r="F177" s="9">
        <f>793.39*1.1</f>
        <v>872.72900000000004</v>
      </c>
      <c r="G177" s="10">
        <v>1</v>
      </c>
      <c r="H177" s="11">
        <f t="shared" si="5"/>
        <v>872.73</v>
      </c>
    </row>
    <row r="178" spans="1:8" ht="34.5" x14ac:dyDescent="0.25">
      <c r="A178" s="7" t="s">
        <v>178</v>
      </c>
      <c r="B178" s="1">
        <v>3</v>
      </c>
      <c r="C178" s="7" t="s">
        <v>183</v>
      </c>
      <c r="D178" s="7" t="s">
        <v>12</v>
      </c>
      <c r="E178" s="8" t="s">
        <v>184</v>
      </c>
      <c r="F178" s="9">
        <f>675.34*1.1</f>
        <v>742.87400000000014</v>
      </c>
      <c r="G178" s="10">
        <v>1</v>
      </c>
      <c r="H178" s="11">
        <f t="shared" si="5"/>
        <v>742.87</v>
      </c>
    </row>
    <row r="179" spans="1:8" ht="68.25" x14ac:dyDescent="0.25">
      <c r="A179" s="7" t="s">
        <v>178</v>
      </c>
      <c r="B179" s="1">
        <v>4</v>
      </c>
      <c r="C179" s="7" t="s">
        <v>185</v>
      </c>
      <c r="D179" s="7" t="s">
        <v>12</v>
      </c>
      <c r="E179" s="8" t="s">
        <v>186</v>
      </c>
      <c r="F179" s="9">
        <f>124.44*1.1</f>
        <v>136.88400000000001</v>
      </c>
      <c r="G179" s="10">
        <v>1</v>
      </c>
      <c r="H179" s="11">
        <f t="shared" si="5"/>
        <v>136.88</v>
      </c>
    </row>
    <row r="180" spans="1:8" ht="45.75" x14ac:dyDescent="0.25">
      <c r="A180" s="7" t="s">
        <v>178</v>
      </c>
      <c r="B180" s="1">
        <v>5</v>
      </c>
      <c r="C180" s="7" t="s">
        <v>56</v>
      </c>
      <c r="D180" s="7" t="s">
        <v>33</v>
      </c>
      <c r="E180" s="8" t="s">
        <v>57</v>
      </c>
      <c r="F180" s="9">
        <f>1.3*1.1</f>
        <v>1.4300000000000002</v>
      </c>
      <c r="G180" s="10">
        <v>55</v>
      </c>
      <c r="H180" s="11">
        <f t="shared" si="5"/>
        <v>78.650000000000006</v>
      </c>
    </row>
    <row r="181" spans="1:8" ht="57" x14ac:dyDescent="0.25">
      <c r="A181" s="7" t="s">
        <v>178</v>
      </c>
      <c r="B181" s="1">
        <v>6</v>
      </c>
      <c r="C181" s="7" t="s">
        <v>74</v>
      </c>
      <c r="D181" s="7" t="s">
        <v>33</v>
      </c>
      <c r="E181" s="8" t="s">
        <v>75</v>
      </c>
      <c r="F181" s="9">
        <f>1.36*1.1</f>
        <v>1.4960000000000002</v>
      </c>
      <c r="G181" s="10">
        <v>55</v>
      </c>
      <c r="H181" s="11">
        <f t="shared" si="5"/>
        <v>82.5</v>
      </c>
    </row>
    <row r="182" spans="1:8" ht="23.25" x14ac:dyDescent="0.25">
      <c r="A182" s="7" t="s">
        <v>178</v>
      </c>
      <c r="B182" s="1">
        <v>7</v>
      </c>
      <c r="C182" s="7" t="s">
        <v>147</v>
      </c>
      <c r="D182" s="7" t="s">
        <v>12</v>
      </c>
      <c r="E182" s="8" t="s">
        <v>148</v>
      </c>
      <c r="F182" s="9">
        <f>11.1*1.1</f>
        <v>12.21</v>
      </c>
      <c r="G182" s="10">
        <v>2</v>
      </c>
      <c r="H182" s="11">
        <f t="shared" si="5"/>
        <v>24.42</v>
      </c>
    </row>
    <row r="183" spans="1:8" ht="57" x14ac:dyDescent="0.25">
      <c r="A183" s="7" t="s">
        <v>178</v>
      </c>
      <c r="B183" s="1">
        <v>8</v>
      </c>
      <c r="C183" s="7" t="s">
        <v>70</v>
      </c>
      <c r="D183" s="7" t="s">
        <v>12</v>
      </c>
      <c r="E183" s="8" t="s">
        <v>71</v>
      </c>
      <c r="F183" s="9">
        <f>88.16*1.1</f>
        <v>96.975999999999999</v>
      </c>
      <c r="G183" s="10">
        <v>1</v>
      </c>
      <c r="H183" s="11">
        <f t="shared" si="5"/>
        <v>96.98</v>
      </c>
    </row>
    <row r="184" spans="1:8" x14ac:dyDescent="0.25">
      <c r="E184" s="5" t="s">
        <v>16</v>
      </c>
      <c r="F184" s="5"/>
      <c r="G184" s="5"/>
      <c r="H184" s="12">
        <v>2336.69</v>
      </c>
    </row>
    <row r="186" spans="1:8" x14ac:dyDescent="0.25">
      <c r="C186" s="5" t="s">
        <v>4</v>
      </c>
      <c r="D186" s="6" t="s">
        <v>5</v>
      </c>
      <c r="E186" s="5" t="s">
        <v>6</v>
      </c>
    </row>
    <row r="187" spans="1:8" x14ac:dyDescent="0.25">
      <c r="C187" s="5" t="s">
        <v>7</v>
      </c>
      <c r="D187" s="6" t="s">
        <v>47</v>
      </c>
      <c r="E187" s="5" t="s">
        <v>170</v>
      </c>
    </row>
    <row r="188" spans="1:8" x14ac:dyDescent="0.25">
      <c r="C188" s="5" t="s">
        <v>18</v>
      </c>
      <c r="D188" s="6" t="s">
        <v>22</v>
      </c>
      <c r="E188" s="5" t="s">
        <v>187</v>
      </c>
    </row>
    <row r="190" spans="1:8" ht="57" x14ac:dyDescent="0.25">
      <c r="A190" s="7" t="s">
        <v>188</v>
      </c>
      <c r="B190" s="1">
        <v>1</v>
      </c>
      <c r="C190" s="7" t="s">
        <v>189</v>
      </c>
      <c r="D190" s="7" t="s">
        <v>33</v>
      </c>
      <c r="E190" s="8" t="s">
        <v>190</v>
      </c>
      <c r="F190" s="9">
        <f>1.58*1.1</f>
        <v>1.7380000000000002</v>
      </c>
      <c r="G190" s="10">
        <v>70</v>
      </c>
      <c r="H190" s="11">
        <f>ROUND(ROUND(F190,2)*ROUND(G190,3),2)</f>
        <v>121.8</v>
      </c>
    </row>
    <row r="191" spans="1:8" ht="90.75" x14ac:dyDescent="0.25">
      <c r="A191" s="7" t="s">
        <v>188</v>
      </c>
      <c r="B191" s="1">
        <v>2</v>
      </c>
      <c r="C191" s="7" t="s">
        <v>191</v>
      </c>
      <c r="D191" s="7" t="s">
        <v>33</v>
      </c>
      <c r="E191" s="8" t="s">
        <v>192</v>
      </c>
      <c r="F191" s="9">
        <f>703.82*1.1</f>
        <v>774.20200000000011</v>
      </c>
      <c r="G191" s="10">
        <v>1</v>
      </c>
      <c r="H191" s="11">
        <f>ROUND(ROUND(F191,2)*ROUND(G191,3),2)</f>
        <v>774.2</v>
      </c>
    </row>
    <row r="192" spans="1:8" ht="90.75" x14ac:dyDescent="0.25">
      <c r="A192" s="7" t="s">
        <v>188</v>
      </c>
      <c r="B192" s="1">
        <v>3</v>
      </c>
      <c r="C192" s="7" t="s">
        <v>193</v>
      </c>
      <c r="D192" s="7" t="s">
        <v>12</v>
      </c>
      <c r="E192" s="8" t="s">
        <v>194</v>
      </c>
      <c r="F192" s="9">
        <f>739.26*1.1</f>
        <v>813.18600000000004</v>
      </c>
      <c r="G192" s="10">
        <v>1</v>
      </c>
      <c r="H192" s="11">
        <f>ROUND(ROUND(F192,2)*ROUND(G192,3),2)</f>
        <v>813.19</v>
      </c>
    </row>
    <row r="193" spans="1:8" x14ac:dyDescent="0.25">
      <c r="E193" s="5" t="s">
        <v>16</v>
      </c>
      <c r="F193" s="5"/>
      <c r="G193" s="5"/>
      <c r="H193" s="12">
        <v>1708.43</v>
      </c>
    </row>
    <row r="195" spans="1:8" x14ac:dyDescent="0.25">
      <c r="C195" s="5" t="s">
        <v>4</v>
      </c>
      <c r="D195" s="6" t="s">
        <v>5</v>
      </c>
      <c r="E195" s="5" t="s">
        <v>6</v>
      </c>
    </row>
    <row r="196" spans="1:8" x14ac:dyDescent="0.25">
      <c r="C196" s="5" t="s">
        <v>7</v>
      </c>
      <c r="D196" s="6" t="s">
        <v>47</v>
      </c>
      <c r="E196" s="5" t="s">
        <v>170</v>
      </c>
    </row>
    <row r="197" spans="1:8" x14ac:dyDescent="0.25">
      <c r="C197" s="5" t="s">
        <v>18</v>
      </c>
      <c r="D197" s="6" t="s">
        <v>155</v>
      </c>
      <c r="E197" s="5" t="s">
        <v>156</v>
      </c>
    </row>
    <row r="198" spans="1:8" x14ac:dyDescent="0.25">
      <c r="C198" s="5" t="s">
        <v>21</v>
      </c>
      <c r="D198" s="6" t="s">
        <v>19</v>
      </c>
      <c r="E198" s="5" t="s">
        <v>195</v>
      </c>
    </row>
    <row r="200" spans="1:8" ht="34.5" x14ac:dyDescent="0.25">
      <c r="A200" s="7" t="s">
        <v>196</v>
      </c>
      <c r="B200" s="1">
        <v>1</v>
      </c>
      <c r="C200" s="7" t="s">
        <v>161</v>
      </c>
      <c r="D200" s="7" t="s">
        <v>33</v>
      </c>
      <c r="E200" s="8" t="s">
        <v>162</v>
      </c>
      <c r="F200" s="9">
        <f>6.97*1.1</f>
        <v>7.6670000000000007</v>
      </c>
      <c r="G200" s="10">
        <v>30</v>
      </c>
      <c r="H200" s="11">
        <f>ROUND(ROUND(F200,2)*ROUND(G200,3),2)</f>
        <v>230.1</v>
      </c>
    </row>
    <row r="201" spans="1:8" x14ac:dyDescent="0.25">
      <c r="E201" s="17" t="s">
        <v>16</v>
      </c>
      <c r="F201" s="5"/>
      <c r="G201" s="5"/>
      <c r="H201" s="12">
        <v>230.01</v>
      </c>
    </row>
    <row r="203" spans="1:8" x14ac:dyDescent="0.25">
      <c r="C203" s="5" t="s">
        <v>4</v>
      </c>
      <c r="D203" s="6" t="s">
        <v>5</v>
      </c>
      <c r="E203" s="5" t="s">
        <v>6</v>
      </c>
    </row>
    <row r="204" spans="1:8" x14ac:dyDescent="0.25">
      <c r="C204" s="5" t="s">
        <v>7</v>
      </c>
      <c r="D204" s="6" t="s">
        <v>47</v>
      </c>
      <c r="E204" s="5" t="s">
        <v>170</v>
      </c>
    </row>
    <row r="205" spans="1:8" x14ac:dyDescent="0.25">
      <c r="C205" s="5" t="s">
        <v>18</v>
      </c>
      <c r="D205" s="6" t="s">
        <v>163</v>
      </c>
      <c r="E205" s="5" t="s">
        <v>164</v>
      </c>
    </row>
    <row r="207" spans="1:8" ht="34.5" x14ac:dyDescent="0.25">
      <c r="A207" s="7" t="s">
        <v>197</v>
      </c>
      <c r="B207" s="1">
        <v>1</v>
      </c>
      <c r="C207" s="7" t="s">
        <v>198</v>
      </c>
      <c r="D207" s="7" t="s">
        <v>33</v>
      </c>
      <c r="E207" s="8" t="s">
        <v>199</v>
      </c>
      <c r="F207" s="9">
        <f>9.94*1.1</f>
        <v>10.934000000000001</v>
      </c>
      <c r="G207" s="10">
        <v>44</v>
      </c>
      <c r="H207" s="11">
        <f>ROUND(ROUND(F207,2)*ROUND(G207,3),2)</f>
        <v>480.92</v>
      </c>
    </row>
    <row r="208" spans="1:8" ht="23.25" x14ac:dyDescent="0.25">
      <c r="A208" s="7" t="s">
        <v>197</v>
      </c>
      <c r="B208" s="1">
        <v>2</v>
      </c>
      <c r="C208" s="7" t="s">
        <v>200</v>
      </c>
      <c r="D208" s="7" t="s">
        <v>12</v>
      </c>
      <c r="E208" s="8" t="s">
        <v>201</v>
      </c>
      <c r="F208" s="9">
        <f>27.08*1.1</f>
        <v>29.788</v>
      </c>
      <c r="G208" s="10">
        <v>8</v>
      </c>
      <c r="H208" s="11">
        <f>ROUND(ROUND(F208,2)*ROUND(G208,3),2)</f>
        <v>238.32</v>
      </c>
    </row>
    <row r="209" spans="1:8" ht="34.5" x14ac:dyDescent="0.25">
      <c r="A209" s="7" t="s">
        <v>197</v>
      </c>
      <c r="B209" s="1">
        <v>3</v>
      </c>
      <c r="C209" s="7" t="s">
        <v>202</v>
      </c>
      <c r="D209" s="7" t="s">
        <v>12</v>
      </c>
      <c r="E209" s="8" t="s">
        <v>203</v>
      </c>
      <c r="F209" s="9">
        <f>11.67*1.1</f>
        <v>12.837000000000002</v>
      </c>
      <c r="G209" s="10">
        <v>2</v>
      </c>
      <c r="H209" s="11">
        <f>ROUND(ROUND(F209,2)*ROUND(G209,3),2)</f>
        <v>25.68</v>
      </c>
    </row>
    <row r="210" spans="1:8" ht="34.5" x14ac:dyDescent="0.25">
      <c r="A210" s="7" t="s">
        <v>197</v>
      </c>
      <c r="B210" s="1">
        <v>4</v>
      </c>
      <c r="C210" s="7" t="s">
        <v>204</v>
      </c>
      <c r="D210" s="7" t="s">
        <v>12</v>
      </c>
      <c r="E210" s="8" t="s">
        <v>205</v>
      </c>
      <c r="F210" s="9">
        <f>26.89*1.1</f>
        <v>29.579000000000004</v>
      </c>
      <c r="G210" s="10">
        <v>5</v>
      </c>
      <c r="H210" s="11">
        <f>ROUND(ROUND(F210,2)*ROUND(G210,3),2)</f>
        <v>147.9</v>
      </c>
    </row>
    <row r="211" spans="1:8" x14ac:dyDescent="0.25">
      <c r="E211" s="5" t="s">
        <v>16</v>
      </c>
      <c r="F211" s="5"/>
      <c r="G211" s="5"/>
      <c r="H211" s="12">
        <v>892.96</v>
      </c>
    </row>
    <row r="213" spans="1:8" x14ac:dyDescent="0.25">
      <c r="C213" s="5" t="s">
        <v>4</v>
      </c>
      <c r="D213" s="6" t="s">
        <v>5</v>
      </c>
      <c r="E213" s="5" t="s">
        <v>6</v>
      </c>
    </row>
    <row r="214" spans="1:8" x14ac:dyDescent="0.25">
      <c r="C214" s="5" t="s">
        <v>7</v>
      </c>
      <c r="D214" s="6" t="s">
        <v>22</v>
      </c>
      <c r="E214" s="5" t="s">
        <v>206</v>
      </c>
    </row>
    <row r="215" spans="1:8" x14ac:dyDescent="0.25">
      <c r="C215" s="5" t="s">
        <v>18</v>
      </c>
      <c r="D215" s="6" t="s">
        <v>19</v>
      </c>
      <c r="E215" s="5" t="s">
        <v>207</v>
      </c>
    </row>
    <row r="217" spans="1:8" ht="45.75" x14ac:dyDescent="0.25">
      <c r="A217" s="7" t="s">
        <v>208</v>
      </c>
      <c r="B217" s="1">
        <v>1</v>
      </c>
      <c r="C217" s="7" t="s">
        <v>37</v>
      </c>
      <c r="D217" s="7" t="s">
        <v>12</v>
      </c>
      <c r="E217" s="8" t="s">
        <v>38</v>
      </c>
      <c r="F217" s="9">
        <f>43.75*1.1</f>
        <v>48.125000000000007</v>
      </c>
      <c r="G217" s="10">
        <v>1</v>
      </c>
      <c r="H217" s="11">
        <f t="shared" ref="H217:H222" si="6">ROUND(ROUND(F217,2)*ROUND(G217,3),2)</f>
        <v>48.13</v>
      </c>
    </row>
    <row r="218" spans="1:8" x14ac:dyDescent="0.25">
      <c r="A218" s="7" t="s">
        <v>208</v>
      </c>
      <c r="B218" s="1">
        <v>2</v>
      </c>
      <c r="C218" s="7" t="s">
        <v>45</v>
      </c>
      <c r="D218" s="7" t="s">
        <v>12</v>
      </c>
      <c r="E218" s="8" t="s">
        <v>42</v>
      </c>
      <c r="F218" s="9">
        <f>65.99*1.1</f>
        <v>72.588999999999999</v>
      </c>
      <c r="G218" s="10">
        <v>1</v>
      </c>
      <c r="H218" s="11">
        <f t="shared" si="6"/>
        <v>72.59</v>
      </c>
    </row>
    <row r="219" spans="1:8" ht="34.5" x14ac:dyDescent="0.25">
      <c r="A219" s="7" t="s">
        <v>208</v>
      </c>
      <c r="B219" s="1">
        <v>3</v>
      </c>
      <c r="C219" s="7" t="s">
        <v>209</v>
      </c>
      <c r="D219" s="7" t="s">
        <v>12</v>
      </c>
      <c r="E219" s="8" t="s">
        <v>210</v>
      </c>
      <c r="F219" s="9">
        <f>58.94*1.1</f>
        <v>64.834000000000003</v>
      </c>
      <c r="G219" s="10">
        <v>1</v>
      </c>
      <c r="H219" s="11">
        <f t="shared" si="6"/>
        <v>64.83</v>
      </c>
    </row>
    <row r="220" spans="1:8" ht="214.5" x14ac:dyDescent="0.25">
      <c r="A220" s="7" t="s">
        <v>208</v>
      </c>
      <c r="B220" s="1">
        <v>4</v>
      </c>
      <c r="C220" s="7" t="s">
        <v>211</v>
      </c>
      <c r="D220" s="7" t="s">
        <v>12</v>
      </c>
      <c r="E220" s="8" t="s">
        <v>212</v>
      </c>
      <c r="F220" s="9">
        <f>4712.56*1.1</f>
        <v>5183.8160000000007</v>
      </c>
      <c r="G220" s="10">
        <v>1</v>
      </c>
      <c r="H220" s="11">
        <f t="shared" si="6"/>
        <v>5183.82</v>
      </c>
    </row>
    <row r="221" spans="1:8" x14ac:dyDescent="0.25">
      <c r="A221" s="7" t="s">
        <v>208</v>
      </c>
      <c r="B221" s="1">
        <v>5</v>
      </c>
      <c r="C221" s="7" t="s">
        <v>213</v>
      </c>
      <c r="D221" s="7" t="s">
        <v>12</v>
      </c>
      <c r="E221" s="8" t="s">
        <v>214</v>
      </c>
      <c r="F221" s="9">
        <f>810.4*1.1</f>
        <v>891.44</v>
      </c>
      <c r="G221" s="10">
        <v>1</v>
      </c>
      <c r="H221" s="11">
        <f t="shared" si="6"/>
        <v>891.44</v>
      </c>
    </row>
    <row r="222" spans="1:8" ht="23.25" x14ac:dyDescent="0.25">
      <c r="A222" s="7" t="s">
        <v>208</v>
      </c>
      <c r="B222" s="1">
        <v>6</v>
      </c>
      <c r="C222" s="7" t="s">
        <v>215</v>
      </c>
      <c r="D222" s="7" t="s">
        <v>26</v>
      </c>
      <c r="E222" s="8" t="s">
        <v>216</v>
      </c>
      <c r="F222" s="9">
        <f>21.18*1.1</f>
        <v>23.298000000000002</v>
      </c>
      <c r="G222" s="10">
        <v>4</v>
      </c>
      <c r="H222" s="11">
        <f t="shared" si="6"/>
        <v>93.2</v>
      </c>
    </row>
    <row r="223" spans="1:8" x14ac:dyDescent="0.25">
      <c r="E223" s="5" t="s">
        <v>16</v>
      </c>
      <c r="F223" s="5"/>
      <c r="G223" s="5"/>
      <c r="H223" s="12">
        <v>6353.99</v>
      </c>
    </row>
    <row r="225" spans="1:8" x14ac:dyDescent="0.25">
      <c r="C225" s="5" t="s">
        <v>4</v>
      </c>
      <c r="D225" s="6" t="s">
        <v>5</v>
      </c>
      <c r="E225" s="5" t="s">
        <v>6</v>
      </c>
    </row>
    <row r="226" spans="1:8" x14ac:dyDescent="0.25">
      <c r="C226" s="5" t="s">
        <v>7</v>
      </c>
      <c r="D226" s="6" t="s">
        <v>22</v>
      </c>
      <c r="E226" s="5" t="s">
        <v>206</v>
      </c>
    </row>
    <row r="227" spans="1:8" x14ac:dyDescent="0.25">
      <c r="C227" s="5" t="s">
        <v>18</v>
      </c>
      <c r="D227" s="6" t="s">
        <v>47</v>
      </c>
      <c r="E227" s="5" t="s">
        <v>48</v>
      </c>
    </row>
    <row r="229" spans="1:8" ht="45.75" x14ac:dyDescent="0.25">
      <c r="A229" s="7" t="s">
        <v>217</v>
      </c>
      <c r="B229" s="1">
        <v>1</v>
      </c>
      <c r="C229" s="7" t="s">
        <v>218</v>
      </c>
      <c r="D229" s="7" t="s">
        <v>12</v>
      </c>
      <c r="E229" s="8" t="s">
        <v>219</v>
      </c>
      <c r="F229" s="9">
        <f>206.64*1.1</f>
        <v>227.304</v>
      </c>
      <c r="G229" s="10">
        <v>1</v>
      </c>
      <c r="H229" s="11">
        <f t="shared" ref="H229:H234" si="7">ROUND(ROUND(F229,2)*ROUND(G229,3),2)</f>
        <v>227.3</v>
      </c>
    </row>
    <row r="230" spans="1:8" ht="45.75" x14ac:dyDescent="0.25">
      <c r="A230" s="7" t="s">
        <v>217</v>
      </c>
      <c r="B230" s="1">
        <v>2</v>
      </c>
      <c r="C230" s="7" t="s">
        <v>68</v>
      </c>
      <c r="D230" s="7" t="s">
        <v>33</v>
      </c>
      <c r="E230" s="8" t="s">
        <v>69</v>
      </c>
      <c r="F230" s="9">
        <f>1.63*1.1</f>
        <v>1.7929999999999999</v>
      </c>
      <c r="G230" s="10">
        <v>30</v>
      </c>
      <c r="H230" s="11">
        <f t="shared" si="7"/>
        <v>53.7</v>
      </c>
    </row>
    <row r="231" spans="1:8" ht="57" x14ac:dyDescent="0.25">
      <c r="A231" s="7" t="s">
        <v>217</v>
      </c>
      <c r="B231" s="1">
        <v>3</v>
      </c>
      <c r="C231" s="7" t="s">
        <v>74</v>
      </c>
      <c r="D231" s="7" t="s">
        <v>33</v>
      </c>
      <c r="E231" s="8" t="s">
        <v>75</v>
      </c>
      <c r="F231" s="9">
        <f>1.36*1.1</f>
        <v>1.4960000000000002</v>
      </c>
      <c r="G231" s="10">
        <v>10</v>
      </c>
      <c r="H231" s="11">
        <f t="shared" si="7"/>
        <v>15</v>
      </c>
    </row>
    <row r="232" spans="1:8" ht="23.25" x14ac:dyDescent="0.25">
      <c r="A232" s="7" t="s">
        <v>217</v>
      </c>
      <c r="B232" s="1">
        <v>4</v>
      </c>
      <c r="C232" s="7" t="s">
        <v>62</v>
      </c>
      <c r="D232" s="7" t="s">
        <v>12</v>
      </c>
      <c r="E232" s="8" t="s">
        <v>63</v>
      </c>
      <c r="F232" s="9">
        <f>6.74*1.1</f>
        <v>7.4140000000000006</v>
      </c>
      <c r="G232" s="10">
        <v>1</v>
      </c>
      <c r="H232" s="11">
        <f t="shared" si="7"/>
        <v>7.41</v>
      </c>
    </row>
    <row r="233" spans="1:8" ht="23.25" x14ac:dyDescent="0.25">
      <c r="A233" s="7" t="s">
        <v>217</v>
      </c>
      <c r="B233" s="1">
        <v>5</v>
      </c>
      <c r="C233" s="7" t="s">
        <v>147</v>
      </c>
      <c r="D233" s="7" t="s">
        <v>12</v>
      </c>
      <c r="E233" s="8" t="s">
        <v>148</v>
      </c>
      <c r="F233" s="9">
        <f>11.1*1.1</f>
        <v>12.21</v>
      </c>
      <c r="G233" s="10">
        <v>1</v>
      </c>
      <c r="H233" s="11">
        <f t="shared" si="7"/>
        <v>12.21</v>
      </c>
    </row>
    <row r="234" spans="1:8" ht="23.25" x14ac:dyDescent="0.25">
      <c r="A234" s="7" t="s">
        <v>217</v>
      </c>
      <c r="B234" s="1">
        <v>6</v>
      </c>
      <c r="C234" s="7" t="s">
        <v>220</v>
      </c>
      <c r="D234" s="7" t="s">
        <v>12</v>
      </c>
      <c r="E234" s="8" t="s">
        <v>221</v>
      </c>
      <c r="F234" s="9">
        <f>223.94*1.1</f>
        <v>246.334</v>
      </c>
      <c r="G234" s="10">
        <v>1</v>
      </c>
      <c r="H234" s="11">
        <f t="shared" si="7"/>
        <v>246.33</v>
      </c>
    </row>
    <row r="235" spans="1:8" x14ac:dyDescent="0.25">
      <c r="E235" s="5" t="s">
        <v>16</v>
      </c>
      <c r="F235" s="5"/>
      <c r="G235" s="5"/>
      <c r="H235" s="12">
        <v>562.01</v>
      </c>
    </row>
    <row r="237" spans="1:8" x14ac:dyDescent="0.25">
      <c r="C237" s="5" t="s">
        <v>4</v>
      </c>
      <c r="D237" s="6" t="s">
        <v>5</v>
      </c>
      <c r="E237" s="5" t="s">
        <v>6</v>
      </c>
    </row>
    <row r="238" spans="1:8" x14ac:dyDescent="0.25">
      <c r="C238" s="5" t="s">
        <v>7</v>
      </c>
      <c r="D238" s="6" t="s">
        <v>22</v>
      </c>
      <c r="E238" s="5" t="s">
        <v>206</v>
      </c>
    </row>
    <row r="239" spans="1:8" x14ac:dyDescent="0.25">
      <c r="C239" s="5" t="s">
        <v>18</v>
      </c>
      <c r="D239" s="6" t="s">
        <v>22</v>
      </c>
      <c r="E239" s="5" t="s">
        <v>156</v>
      </c>
    </row>
    <row r="240" spans="1:8" x14ac:dyDescent="0.25">
      <c r="C240" s="5" t="s">
        <v>21</v>
      </c>
      <c r="D240" s="6" t="s">
        <v>5</v>
      </c>
      <c r="E240" s="5" t="s">
        <v>157</v>
      </c>
    </row>
    <row r="242" spans="1:8" ht="45.75" x14ac:dyDescent="0.25">
      <c r="A242" s="7" t="s">
        <v>222</v>
      </c>
      <c r="B242" s="1">
        <v>1</v>
      </c>
      <c r="C242" s="7" t="s">
        <v>159</v>
      </c>
      <c r="D242" s="7" t="s">
        <v>12</v>
      </c>
      <c r="E242" s="8" t="s">
        <v>160</v>
      </c>
      <c r="F242" s="9">
        <f>51.7*1.1</f>
        <v>56.870000000000005</v>
      </c>
      <c r="G242" s="10">
        <v>3</v>
      </c>
      <c r="H242" s="11">
        <f t="shared" ref="H242:H247" si="8">ROUND(ROUND(F242,2)*ROUND(G242,3),2)</f>
        <v>170.61</v>
      </c>
    </row>
    <row r="243" spans="1:8" ht="34.5" x14ac:dyDescent="0.25">
      <c r="A243" s="7" t="s">
        <v>222</v>
      </c>
      <c r="B243" s="1">
        <v>2</v>
      </c>
      <c r="C243" s="7" t="s">
        <v>161</v>
      </c>
      <c r="D243" s="7" t="s">
        <v>33</v>
      </c>
      <c r="E243" s="8" t="s">
        <v>162</v>
      </c>
      <c r="F243" s="9">
        <f>6.97*1.1</f>
        <v>7.6670000000000007</v>
      </c>
      <c r="G243" s="10">
        <v>25</v>
      </c>
      <c r="H243" s="11">
        <f t="shared" si="8"/>
        <v>191.75</v>
      </c>
    </row>
    <row r="244" spans="1:8" ht="34.5" x14ac:dyDescent="0.25">
      <c r="A244" s="7" t="s">
        <v>222</v>
      </c>
      <c r="B244" s="1">
        <v>3</v>
      </c>
      <c r="C244" s="7" t="s">
        <v>223</v>
      </c>
      <c r="D244" s="7" t="s">
        <v>33</v>
      </c>
      <c r="E244" s="8" t="s">
        <v>224</v>
      </c>
      <c r="F244" s="9">
        <f>10.47*1.1</f>
        <v>11.517000000000001</v>
      </c>
      <c r="G244" s="10">
        <v>10</v>
      </c>
      <c r="H244" s="11">
        <f t="shared" si="8"/>
        <v>115.2</v>
      </c>
    </row>
    <row r="245" spans="1:8" ht="23.25" x14ac:dyDescent="0.25">
      <c r="A245" s="7" t="s">
        <v>222</v>
      </c>
      <c r="B245" s="1">
        <v>4</v>
      </c>
      <c r="C245" s="7" t="s">
        <v>225</v>
      </c>
      <c r="D245" s="7" t="s">
        <v>33</v>
      </c>
      <c r="E245" s="8" t="s">
        <v>226</v>
      </c>
      <c r="F245" s="9">
        <f>21.22*1.1</f>
        <v>23.342000000000002</v>
      </c>
      <c r="G245" s="10">
        <v>5</v>
      </c>
      <c r="H245" s="11">
        <f t="shared" si="8"/>
        <v>116.7</v>
      </c>
    </row>
    <row r="246" spans="1:8" ht="23.25" x14ac:dyDescent="0.25">
      <c r="A246" s="7" t="s">
        <v>222</v>
      </c>
      <c r="B246" s="1">
        <v>5</v>
      </c>
      <c r="C246" s="7" t="s">
        <v>227</v>
      </c>
      <c r="D246" s="7" t="s">
        <v>12</v>
      </c>
      <c r="E246" s="8" t="s">
        <v>228</v>
      </c>
      <c r="F246" s="9">
        <f>36.01*1.1</f>
        <v>39.611000000000004</v>
      </c>
      <c r="G246" s="10">
        <v>1</v>
      </c>
      <c r="H246" s="11">
        <f t="shared" si="8"/>
        <v>39.61</v>
      </c>
    </row>
    <row r="247" spans="1:8" ht="23.25" x14ac:dyDescent="0.25">
      <c r="A247" s="7" t="s">
        <v>222</v>
      </c>
      <c r="B247" s="1">
        <v>6</v>
      </c>
      <c r="C247" s="7" t="s">
        <v>229</v>
      </c>
      <c r="D247" s="7" t="s">
        <v>230</v>
      </c>
      <c r="E247" s="8" t="s">
        <v>231</v>
      </c>
      <c r="F247" s="9">
        <f>173.54*1.1</f>
        <v>190.89400000000001</v>
      </c>
      <c r="G247" s="10">
        <v>1</v>
      </c>
      <c r="H247" s="11">
        <f t="shared" si="8"/>
        <v>190.89</v>
      </c>
    </row>
    <row r="248" spans="1:8" x14ac:dyDescent="0.25">
      <c r="E248" s="5" t="s">
        <v>16</v>
      </c>
      <c r="F248" s="5"/>
      <c r="G248" s="5"/>
      <c r="H248" s="12">
        <v>824.67</v>
      </c>
    </row>
    <row r="250" spans="1:8" x14ac:dyDescent="0.25">
      <c r="C250" s="5" t="s">
        <v>4</v>
      </c>
      <c r="D250" s="6" t="s">
        <v>5</v>
      </c>
      <c r="E250" s="5" t="s">
        <v>6</v>
      </c>
    </row>
    <row r="251" spans="1:8" x14ac:dyDescent="0.25">
      <c r="C251" s="5" t="s">
        <v>7</v>
      </c>
      <c r="D251" s="6" t="s">
        <v>232</v>
      </c>
      <c r="E251" s="5" t="s">
        <v>233</v>
      </c>
    </row>
    <row r="253" spans="1:8" ht="34.5" x14ac:dyDescent="0.25">
      <c r="A253" s="7" t="s">
        <v>234</v>
      </c>
      <c r="B253" s="1">
        <v>1</v>
      </c>
      <c r="C253" s="7" t="s">
        <v>235</v>
      </c>
      <c r="D253" s="7" t="s">
        <v>12</v>
      </c>
      <c r="E253" s="8" t="s">
        <v>236</v>
      </c>
      <c r="F253" s="9">
        <f>228.13*1.1</f>
        <v>250.94300000000001</v>
      </c>
      <c r="G253" s="10">
        <v>1</v>
      </c>
      <c r="H253" s="11">
        <f>ROUND(ROUND(F253,2)*ROUND(G253,3),2)</f>
        <v>250.94</v>
      </c>
    </row>
    <row r="254" spans="1:8" ht="90.75" x14ac:dyDescent="0.25">
      <c r="A254" s="7" t="s">
        <v>234</v>
      </c>
      <c r="B254" s="1">
        <v>2</v>
      </c>
      <c r="C254" s="7" t="s">
        <v>237</v>
      </c>
      <c r="D254" s="7" t="s">
        <v>12</v>
      </c>
      <c r="E254" s="8" t="s">
        <v>238</v>
      </c>
      <c r="F254" s="9">
        <f>2187.44*1.1</f>
        <v>2406.1840000000002</v>
      </c>
      <c r="G254" s="10">
        <v>1</v>
      </c>
      <c r="H254" s="11">
        <f>ROUND(ROUND(F254,2)*ROUND(G254,3),2)</f>
        <v>2406.1799999999998</v>
      </c>
    </row>
    <row r="255" spans="1:8" x14ac:dyDescent="0.25">
      <c r="A255" s="7" t="s">
        <v>234</v>
      </c>
      <c r="B255" s="1">
        <v>3</v>
      </c>
      <c r="C255" s="7" t="s">
        <v>239</v>
      </c>
      <c r="D255" s="7" t="s">
        <v>12</v>
      </c>
      <c r="E255" s="13" t="s">
        <v>240</v>
      </c>
      <c r="F255" s="9">
        <f>1.6*1.1</f>
        <v>1.7600000000000002</v>
      </c>
      <c r="G255" s="10">
        <v>50</v>
      </c>
      <c r="H255" s="11">
        <f>ROUND(ROUND(F255,2)*ROUND(G255,3),2)</f>
        <v>88</v>
      </c>
    </row>
    <row r="256" spans="1:8" ht="57" x14ac:dyDescent="0.25">
      <c r="A256" s="7" t="s">
        <v>234</v>
      </c>
      <c r="B256" s="1">
        <v>4</v>
      </c>
      <c r="C256" s="7" t="s">
        <v>189</v>
      </c>
      <c r="D256" s="7" t="s">
        <v>33</v>
      </c>
      <c r="E256" s="8" t="s">
        <v>190</v>
      </c>
      <c r="F256" s="9">
        <f>1.58*1.1</f>
        <v>1.7380000000000002</v>
      </c>
      <c r="G256" s="10">
        <v>1658</v>
      </c>
      <c r="H256" s="11">
        <f>ROUND(ROUND(F256,2)*ROUND(G256,3),2)</f>
        <v>2884.92</v>
      </c>
    </row>
    <row r="257" spans="1:8" ht="34.5" x14ac:dyDescent="0.25">
      <c r="A257" s="7" t="s">
        <v>234</v>
      </c>
      <c r="B257" s="1">
        <v>5</v>
      </c>
      <c r="C257" s="7" t="s">
        <v>241</v>
      </c>
      <c r="D257" s="7" t="s">
        <v>33</v>
      </c>
      <c r="E257" s="8" t="s">
        <v>242</v>
      </c>
      <c r="F257" s="9">
        <f>23.39*1.1</f>
        <v>25.729000000000003</v>
      </c>
      <c r="G257" s="10">
        <v>15</v>
      </c>
      <c r="H257" s="11">
        <f>ROUND(ROUND(F257,2)*ROUND(G257,3),2)</f>
        <v>385.95</v>
      </c>
    </row>
    <row r="258" spans="1:8" x14ac:dyDescent="0.25">
      <c r="E258" s="5" t="s">
        <v>16</v>
      </c>
      <c r="F258" s="5"/>
      <c r="G258" s="5"/>
      <c r="H258" s="12">
        <v>6012.66</v>
      </c>
    </row>
    <row r="260" spans="1:8" x14ac:dyDescent="0.25">
      <c r="C260" s="5" t="s">
        <v>4</v>
      </c>
      <c r="D260" s="6" t="s">
        <v>5</v>
      </c>
      <c r="E260" s="5" t="s">
        <v>6</v>
      </c>
    </row>
    <row r="261" spans="1:8" x14ac:dyDescent="0.25">
      <c r="C261" s="5" t="s">
        <v>7</v>
      </c>
      <c r="D261" s="6" t="s">
        <v>243</v>
      </c>
      <c r="E261" s="5" t="s">
        <v>244</v>
      </c>
    </row>
    <row r="262" spans="1:8" x14ac:dyDescent="0.25">
      <c r="C262" s="5" t="s">
        <v>18</v>
      </c>
      <c r="D262" s="6" t="s">
        <v>5</v>
      </c>
      <c r="E262" s="5" t="s">
        <v>245</v>
      </c>
    </row>
    <row r="264" spans="1:8" ht="23.25" x14ac:dyDescent="0.25">
      <c r="A264" s="7" t="s">
        <v>246</v>
      </c>
      <c r="B264" s="1">
        <v>1</v>
      </c>
      <c r="C264" s="7" t="s">
        <v>247</v>
      </c>
      <c r="D264" s="7" t="s">
        <v>98</v>
      </c>
      <c r="E264" s="8" t="s">
        <v>248</v>
      </c>
      <c r="F264" s="9">
        <f>2500*1.1</f>
        <v>2750</v>
      </c>
      <c r="G264" s="10">
        <v>1</v>
      </c>
      <c r="H264" s="11">
        <f>ROUND(ROUND(F264,2)*ROUND(G264,3),2)</f>
        <v>2750</v>
      </c>
    </row>
    <row r="265" spans="1:8" ht="57" x14ac:dyDescent="0.25">
      <c r="A265" s="7" t="s">
        <v>246</v>
      </c>
      <c r="B265" s="1">
        <v>2</v>
      </c>
      <c r="C265" s="7" t="s">
        <v>249</v>
      </c>
      <c r="D265" s="7" t="s">
        <v>12</v>
      </c>
      <c r="E265" s="8" t="s">
        <v>250</v>
      </c>
      <c r="F265" s="9">
        <f>1099.15*1.1</f>
        <v>1209.0650000000003</v>
      </c>
      <c r="G265" s="10">
        <v>1</v>
      </c>
      <c r="H265" s="11">
        <f>ROUND(ROUND(F265,2)*ROUND(G265,3),2)</f>
        <v>1209.07</v>
      </c>
    </row>
    <row r="266" spans="1:8" ht="23.25" x14ac:dyDescent="0.25">
      <c r="A266" s="7" t="s">
        <v>246</v>
      </c>
      <c r="B266" s="1">
        <v>3</v>
      </c>
      <c r="C266" s="7" t="s">
        <v>251</v>
      </c>
      <c r="D266" s="7" t="s">
        <v>33</v>
      </c>
      <c r="E266" s="8" t="s">
        <v>252</v>
      </c>
      <c r="F266" s="9">
        <f>15.96*1.1</f>
        <v>17.556000000000001</v>
      </c>
      <c r="G266" s="10">
        <v>10</v>
      </c>
      <c r="H266" s="11">
        <f>ROUND(ROUND(F266,2)*ROUND(G266,3),2)</f>
        <v>175.6</v>
      </c>
    </row>
    <row r="267" spans="1:8" x14ac:dyDescent="0.25">
      <c r="E267" s="5" t="s">
        <v>16</v>
      </c>
      <c r="F267" s="5"/>
      <c r="G267" s="5"/>
      <c r="H267" s="12">
        <v>4134.62</v>
      </c>
    </row>
    <row r="269" spans="1:8" x14ac:dyDescent="0.25">
      <c r="C269" s="5" t="s">
        <v>4</v>
      </c>
      <c r="D269" s="6" t="s">
        <v>5</v>
      </c>
      <c r="E269" s="5" t="s">
        <v>6</v>
      </c>
    </row>
    <row r="270" spans="1:8" x14ac:dyDescent="0.25">
      <c r="C270" s="5" t="s">
        <v>7</v>
      </c>
      <c r="D270" s="6" t="s">
        <v>243</v>
      </c>
      <c r="E270" s="5" t="s">
        <v>244</v>
      </c>
    </row>
    <row r="271" spans="1:8" x14ac:dyDescent="0.25">
      <c r="C271" s="5" t="s">
        <v>18</v>
      </c>
      <c r="D271" s="6" t="s">
        <v>19</v>
      </c>
      <c r="E271" s="5" t="s">
        <v>253</v>
      </c>
    </row>
    <row r="273" spans="1:8" ht="34.5" x14ac:dyDescent="0.25">
      <c r="A273" s="7" t="s">
        <v>254</v>
      </c>
      <c r="B273" s="1">
        <v>1</v>
      </c>
      <c r="C273" s="7" t="s">
        <v>255</v>
      </c>
      <c r="D273" s="7" t="s">
        <v>12</v>
      </c>
      <c r="E273" s="8" t="s">
        <v>256</v>
      </c>
      <c r="F273" s="9">
        <f>54.86*1.1</f>
        <v>60.346000000000004</v>
      </c>
      <c r="G273" s="10">
        <v>12</v>
      </c>
      <c r="H273" s="11">
        <f t="shared" ref="H273:H278" si="9">ROUND(ROUND(F273,2)*ROUND(G273,3),2)</f>
        <v>724.2</v>
      </c>
    </row>
    <row r="274" spans="1:8" ht="23.25" x14ac:dyDescent="0.25">
      <c r="A274" s="7" t="s">
        <v>254</v>
      </c>
      <c r="B274" s="1">
        <v>2</v>
      </c>
      <c r="C274" s="7" t="s">
        <v>257</v>
      </c>
      <c r="D274" s="7" t="s">
        <v>12</v>
      </c>
      <c r="E274" s="8" t="s">
        <v>258</v>
      </c>
      <c r="F274" s="9">
        <f>49.75*1.1</f>
        <v>54.725000000000001</v>
      </c>
      <c r="G274" s="10">
        <v>1</v>
      </c>
      <c r="H274" s="11">
        <f t="shared" si="9"/>
        <v>54.73</v>
      </c>
    </row>
    <row r="275" spans="1:8" ht="34.5" x14ac:dyDescent="0.25">
      <c r="A275" s="7" t="s">
        <v>254</v>
      </c>
      <c r="B275" s="1">
        <v>3</v>
      </c>
      <c r="C275" s="7" t="s">
        <v>259</v>
      </c>
      <c r="D275" s="7" t="s">
        <v>33</v>
      </c>
      <c r="E275" s="8" t="s">
        <v>260</v>
      </c>
      <c r="F275" s="9">
        <f>2.94*1.1</f>
        <v>3.234</v>
      </c>
      <c r="G275" s="10">
        <v>250</v>
      </c>
      <c r="H275" s="11">
        <f t="shared" si="9"/>
        <v>807.5</v>
      </c>
    </row>
    <row r="276" spans="1:8" ht="45.75" x14ac:dyDescent="0.25">
      <c r="A276" s="7" t="s">
        <v>254</v>
      </c>
      <c r="B276" s="1">
        <v>4</v>
      </c>
      <c r="C276" s="7" t="s">
        <v>261</v>
      </c>
      <c r="D276" s="7" t="s">
        <v>12</v>
      </c>
      <c r="E276" s="8" t="s">
        <v>262</v>
      </c>
      <c r="F276" s="9">
        <f>60.68*1.1</f>
        <v>66.748000000000005</v>
      </c>
      <c r="G276" s="10">
        <v>1</v>
      </c>
      <c r="H276" s="11">
        <f t="shared" si="9"/>
        <v>66.75</v>
      </c>
    </row>
    <row r="277" spans="1:8" ht="34.5" x14ac:dyDescent="0.25">
      <c r="A277" s="7" t="s">
        <v>254</v>
      </c>
      <c r="B277" s="1">
        <v>5</v>
      </c>
      <c r="C277" s="7" t="s">
        <v>263</v>
      </c>
      <c r="D277" s="7" t="s">
        <v>12</v>
      </c>
      <c r="E277" s="8" t="s">
        <v>264</v>
      </c>
      <c r="F277" s="9">
        <f>58.86*1.1</f>
        <v>64.746000000000009</v>
      </c>
      <c r="G277" s="10">
        <v>1</v>
      </c>
      <c r="H277" s="11">
        <f t="shared" si="9"/>
        <v>64.75</v>
      </c>
    </row>
    <row r="278" spans="1:8" ht="45.75" x14ac:dyDescent="0.25">
      <c r="A278" s="7" t="s">
        <v>254</v>
      </c>
      <c r="B278" s="1">
        <v>6</v>
      </c>
      <c r="C278" s="7" t="s">
        <v>265</v>
      </c>
      <c r="D278" s="7" t="s">
        <v>33</v>
      </c>
      <c r="E278" s="8" t="s">
        <v>266</v>
      </c>
      <c r="F278" s="9">
        <f>0.86*1.1</f>
        <v>0.94600000000000006</v>
      </c>
      <c r="G278" s="10">
        <v>250</v>
      </c>
      <c r="H278" s="11">
        <f t="shared" si="9"/>
        <v>237.5</v>
      </c>
    </row>
    <row r="279" spans="1:8" x14ac:dyDescent="0.25">
      <c r="E279" s="17" t="s">
        <v>16</v>
      </c>
      <c r="F279" s="5"/>
      <c r="G279" s="5"/>
      <c r="H279" s="12">
        <v>1955.37</v>
      </c>
    </row>
    <row r="281" spans="1:8" x14ac:dyDescent="0.25">
      <c r="C281" s="5" t="s">
        <v>4</v>
      </c>
      <c r="D281" s="6" t="s">
        <v>5</v>
      </c>
      <c r="E281" s="5" t="s">
        <v>6</v>
      </c>
    </row>
    <row r="282" spans="1:8" x14ac:dyDescent="0.25">
      <c r="C282" s="5" t="s">
        <v>7</v>
      </c>
      <c r="D282" s="6" t="s">
        <v>267</v>
      </c>
      <c r="E282" s="5" t="s">
        <v>268</v>
      </c>
    </row>
    <row r="284" spans="1:8" ht="34.5" x14ac:dyDescent="0.25">
      <c r="A284" s="7" t="s">
        <v>269</v>
      </c>
      <c r="B284" s="1">
        <v>1</v>
      </c>
      <c r="C284" s="7" t="s">
        <v>270</v>
      </c>
      <c r="D284" s="7" t="s">
        <v>98</v>
      </c>
      <c r="E284" s="8" t="s">
        <v>271</v>
      </c>
      <c r="F284" s="9">
        <f>2156*1.1</f>
        <v>2371.6000000000004</v>
      </c>
      <c r="G284" s="10">
        <v>1</v>
      </c>
      <c r="H284" s="11">
        <f>ROUND(ROUND(F284,2)*ROUND(G284,3),2)</f>
        <v>2371.6</v>
      </c>
    </row>
    <row r="285" spans="1:8" ht="68.25" x14ac:dyDescent="0.25">
      <c r="A285" s="7" t="s">
        <v>269</v>
      </c>
      <c r="B285" s="1">
        <v>2</v>
      </c>
      <c r="C285" s="7" t="s">
        <v>272</v>
      </c>
      <c r="D285" s="7" t="s">
        <v>12</v>
      </c>
      <c r="E285" s="8" t="s">
        <v>273</v>
      </c>
      <c r="F285" s="9">
        <f>5917.33*1.1</f>
        <v>6509.0630000000001</v>
      </c>
      <c r="G285" s="10">
        <v>1</v>
      </c>
      <c r="H285" s="11">
        <f>ROUND(ROUND(F285,2)*ROUND(G285,3),2)</f>
        <v>6509.06</v>
      </c>
    </row>
    <row r="286" spans="1:8" x14ac:dyDescent="0.25">
      <c r="E286" s="5" t="s">
        <v>16</v>
      </c>
      <c r="F286" s="5"/>
      <c r="G286" s="5"/>
      <c r="H286" s="12">
        <f>SUM(H284:H285)</f>
        <v>8880.66</v>
      </c>
    </row>
    <row r="288" spans="1:8" x14ac:dyDescent="0.25">
      <c r="E288" s="14" t="s">
        <v>276</v>
      </c>
      <c r="H288" s="15">
        <v>97026.27</v>
      </c>
    </row>
    <row r="292" spans="5:8" x14ac:dyDescent="0.25">
      <c r="E292" s="14" t="s">
        <v>274</v>
      </c>
      <c r="H292" s="15">
        <v>159740.04999999999</v>
      </c>
    </row>
  </sheetData>
  <mergeCells count="4">
    <mergeCell ref="E1:H1"/>
    <mergeCell ref="E2:H2"/>
    <mergeCell ref="E3:H3"/>
    <mergeCell ref="E4:H4"/>
  </mergeCells>
  <pageMargins left="0.75" right="0.75" top="0.75" bottom="0.5" header="0.5" footer="0.7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T-PRES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Moya Arasil, Anna</cp:lastModifiedBy>
  <dcterms:created xsi:type="dcterms:W3CDTF">2019-07-30T11:09:01Z</dcterms:created>
  <dcterms:modified xsi:type="dcterms:W3CDTF">2019-09-23T08:22:42Z</dcterms:modified>
</cp:coreProperties>
</file>